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S\PAFF\Procurement\Contracts\Contract values $200k\2025 2026\2026 02 February\"/>
    </mc:Choice>
  </mc:AlternateContent>
  <xr:revisionPtr revIDLastSave="0" documentId="8_{0E671322-9CC9-43C4-953B-9B63C1105325}" xr6:coauthVersionLast="47" xr6:coauthVersionMax="47" xr10:uidLastSave="{00000000-0000-0000-0000-000000000000}"/>
  <bookViews>
    <workbookView xWindow="-28920" yWindow="-120" windowWidth="29040" windowHeight="15840" xr2:uid="{5845259F-34FC-4139-A241-2776934E850E}"/>
  </bookViews>
  <sheets>
    <sheet name="Print Version of Report" sheetId="1" r:id="rId1"/>
  </sheets>
  <externalReferences>
    <externalReference r:id="rId2"/>
  </externalReferences>
  <definedNames>
    <definedName name="_xlnm.Print_Area" localSheetId="0">'Print Version of Report'!$A$1:$D$276</definedName>
    <definedName name="_xlnm.Print_Titles" localSheetId="0">'Print Version of Report'!$16:$16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1" i="1" l="1"/>
  <c r="D225" i="1"/>
  <c r="D111" i="1"/>
  <c r="D59" i="1"/>
  <c r="D243" i="1"/>
  <c r="D241" i="1"/>
  <c r="D275" i="1"/>
  <c r="D239" i="1"/>
  <c r="D203" i="1"/>
  <c r="D95" i="1"/>
  <c r="D201" i="1"/>
  <c r="D57" i="1"/>
  <c r="D199" i="1"/>
  <c r="D19" i="1"/>
  <c r="D125" i="1"/>
  <c r="D85" i="1"/>
  <c r="D273" i="1"/>
  <c r="D269" i="1"/>
  <c r="D267" i="1"/>
  <c r="D265" i="1"/>
  <c r="D263" i="1"/>
  <c r="D227" i="1"/>
  <c r="D191" i="1"/>
  <c r="D155" i="1"/>
  <c r="D119" i="1"/>
  <c r="D83" i="1"/>
  <c r="D47" i="1"/>
  <c r="D189" i="1"/>
  <c r="D153" i="1"/>
  <c r="D117" i="1"/>
  <c r="D81" i="1"/>
  <c r="D45" i="1"/>
  <c r="D223" i="1"/>
  <c r="D187" i="1"/>
  <c r="D151" i="1"/>
  <c r="D115" i="1"/>
  <c r="D79" i="1"/>
  <c r="D43" i="1"/>
  <c r="D51" i="1"/>
  <c r="D157" i="1"/>
  <c r="D261" i="1"/>
  <c r="D259" i="1"/>
  <c r="D257" i="1"/>
  <c r="D221" i="1"/>
  <c r="D185" i="1"/>
  <c r="D149" i="1"/>
  <c r="D113" i="1"/>
  <c r="D77" i="1"/>
  <c r="D41" i="1"/>
  <c r="D75" i="1"/>
  <c r="D39" i="1"/>
  <c r="D217" i="1"/>
  <c r="D181" i="1"/>
  <c r="D145" i="1"/>
  <c r="D109" i="1"/>
  <c r="D73" i="1"/>
  <c r="D37" i="1"/>
  <c r="D215" i="1"/>
  <c r="D179" i="1"/>
  <c r="D143" i="1"/>
  <c r="D107" i="1"/>
  <c r="D71" i="1"/>
  <c r="D35" i="1"/>
  <c r="D31" i="1"/>
  <c r="D137" i="1"/>
  <c r="D101" i="1"/>
  <c r="D29" i="1"/>
  <c r="D135" i="1"/>
  <c r="D99" i="1"/>
  <c r="D27" i="1"/>
  <c r="D205" i="1"/>
  <c r="D133" i="1"/>
  <c r="D97" i="1"/>
  <c r="D25" i="1"/>
  <c r="D131" i="1"/>
  <c r="D129" i="1"/>
  <c r="D271" i="1"/>
  <c r="D127" i="1"/>
  <c r="D55" i="1"/>
  <c r="D197" i="1"/>
  <c r="D89" i="1"/>
  <c r="D17" i="1"/>
  <c r="D195" i="1"/>
  <c r="D123" i="1"/>
  <c r="D229" i="1"/>
  <c r="D121" i="1"/>
  <c r="D255" i="1"/>
  <c r="D219" i="1"/>
  <c r="D183" i="1"/>
  <c r="D147" i="1"/>
  <c r="D209" i="1"/>
  <c r="D171" i="1"/>
  <c r="D63" i="1"/>
  <c r="D169" i="1"/>
  <c r="D61" i="1"/>
  <c r="D167" i="1"/>
  <c r="D23" i="1"/>
  <c r="D237" i="1"/>
  <c r="D165" i="1"/>
  <c r="D93" i="1"/>
  <c r="D21" i="1"/>
  <c r="D235" i="1"/>
  <c r="D163" i="1"/>
  <c r="D91" i="1"/>
  <c r="D233" i="1"/>
  <c r="D161" i="1"/>
  <c r="D53" i="1"/>
  <c r="D159" i="1"/>
  <c r="D87" i="1"/>
  <c r="D193" i="1"/>
  <c r="D49" i="1"/>
  <c r="D253" i="1"/>
  <c r="D251" i="1"/>
  <c r="D249" i="1"/>
  <c r="D213" i="1"/>
  <c r="D177" i="1"/>
  <c r="D141" i="1"/>
  <c r="D105" i="1"/>
  <c r="D69" i="1"/>
  <c r="D33" i="1"/>
  <c r="D211" i="1"/>
  <c r="D175" i="1"/>
  <c r="D139" i="1"/>
  <c r="D103" i="1"/>
  <c r="D67" i="1"/>
  <c r="D173" i="1"/>
  <c r="D65" i="1"/>
  <c r="D207" i="1"/>
  <c r="D247" i="1"/>
  <c r="D245" i="1"/>
  <c r="H3410" i="1" l="1"/>
  <c r="H3410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<sst xmlns="http://schemas.openxmlformats.org/spreadsheetml/2006/main" count="374" uniqueCount="292">
  <si>
    <t>Supplier/Contractor Name</t>
  </si>
  <si>
    <t>Contract Number</t>
  </si>
  <si>
    <t>Contract Description</t>
  </si>
  <si>
    <t>Contract Value (Exclusive of GST)</t>
  </si>
  <si>
    <t>360 Engineering Pty Ltd</t>
  </si>
  <si>
    <t>LB308</t>
  </si>
  <si>
    <t>Local Buy - ICT Solutions, Products, Services &amp; New Tech</t>
  </si>
  <si>
    <t>AB Livestock and Contracting Pty Ltd</t>
  </si>
  <si>
    <t>500.2024.0043</t>
  </si>
  <si>
    <t>Provision of Plant &amp; Equipment Hire</t>
  </si>
  <si>
    <t>AECOM Australia Pty Ltd</t>
  </si>
  <si>
    <t>LB312</t>
  </si>
  <si>
    <t>Local Buy - Engineering &amp; Environmental Consultancy Services</t>
  </si>
  <si>
    <t>Alluvium Consulting Australia Pty Ltd</t>
  </si>
  <si>
    <t>Ampol Australia Petroleum Pty Ltd</t>
  </si>
  <si>
    <t>LB321</t>
  </si>
  <si>
    <t>Local Buy - Fuels - Bulk, Cards &amp; Oils</t>
  </si>
  <si>
    <t>Apex Engineering &amp; Mangement Pty Ltd</t>
  </si>
  <si>
    <t>500.2025.0009</t>
  </si>
  <si>
    <t>Project Management Services - Water/Sewer &amp; Waste</t>
  </si>
  <si>
    <t>ARV Tree Recycling Pty Ltd</t>
  </si>
  <si>
    <t>500.2025.0057</t>
  </si>
  <si>
    <t>Provision of Waste Material Processing</t>
  </si>
  <si>
    <t>Axios Consulting Services Pty Ltd</t>
  </si>
  <si>
    <t>Beards Drilling Pty Ltd</t>
  </si>
  <si>
    <t>No Contract</t>
  </si>
  <si>
    <t>Blast &amp; Drill Services</t>
  </si>
  <si>
    <t>Bigsplash Playgrounds Pty Ltd</t>
  </si>
  <si>
    <t>LB303</t>
  </si>
  <si>
    <t>Local Buy - Sport and Recreational Facilities &amp; Equipment</t>
  </si>
  <si>
    <t xml:space="preserve">BJM Contracting </t>
  </si>
  <si>
    <t>500.2023.0019</t>
  </si>
  <si>
    <t>Trade Services</t>
  </si>
  <si>
    <t xml:space="preserve"> Culvert Installation - Upriver Road &amp; Cantamessa Road</t>
  </si>
  <si>
    <t>Bow Pak</t>
  </si>
  <si>
    <t>Supply of Pool salts &amp; Chemicals</t>
  </si>
  <si>
    <t>BPMC Consult Pty Ltd</t>
  </si>
  <si>
    <t>LB309</t>
  </si>
  <si>
    <t>Local Buy - Business Management &amp; Consulting Services</t>
  </si>
  <si>
    <t>Brodhurst Pty Ltd T/As Down to Earth Whitsundays</t>
  </si>
  <si>
    <t>500.2024.0042.01</t>
  </si>
  <si>
    <t>Shute Harbour &amp; Jubilee Pocket Landscaping &amp; Maintenance Services</t>
  </si>
  <si>
    <t>Byrnes Asset Consultants Pty Ltd</t>
  </si>
  <si>
    <t>Camm Building Group Pty Ltd</t>
  </si>
  <si>
    <t>Maintenance Works - Slashing</t>
  </si>
  <si>
    <t>Civica Pty Ltd</t>
  </si>
  <si>
    <t>Cleveland Bay Chemical Company</t>
  </si>
  <si>
    <t>Chemical Supply</t>
  </si>
  <si>
    <t>Coalfield Services</t>
  </si>
  <si>
    <t>500.2021.0070/
500.2024.0043</t>
  </si>
  <si>
    <t>Concept Environmental Services Pty Ltd T/A Concept Tanks</t>
  </si>
  <si>
    <t>500.2025.0049</t>
  </si>
  <si>
    <t>Bowen Landfill - Supply and Installation of Leachate Tank</t>
  </si>
  <si>
    <t>Coogee QCA Pty Ltd</t>
  </si>
  <si>
    <t>Copp &amp; Co Plant Hire</t>
  </si>
  <si>
    <t>500.2023.0088</t>
  </si>
  <si>
    <t>DRFA Road Packages – H5 Proserpine South</t>
  </si>
  <si>
    <t>500.2025.0054</t>
  </si>
  <si>
    <t>DRFA Road Package – X6 Proserpine North 2</t>
  </si>
  <si>
    <t>CyberCX Pty Ltd</t>
  </si>
  <si>
    <t>500.2023.0037</t>
  </si>
  <si>
    <t>Splunk Cloud Subscription and Maintenance</t>
  </si>
  <si>
    <t>Data #3</t>
  </si>
  <si>
    <t>Miscellaneous IT Services</t>
  </si>
  <si>
    <t>Department of Natural Resources &amp; Mines - BPAY</t>
  </si>
  <si>
    <t>LG Reg S235(f)</t>
  </si>
  <si>
    <t>State Lease Agreement</t>
  </si>
  <si>
    <t>Don River Improvement Trust</t>
  </si>
  <si>
    <t>State Legislation</t>
  </si>
  <si>
    <t>Don River Improvement Trust Annual Payment Precept 2025-26</t>
  </si>
  <si>
    <t>Dowdens Pumping &amp; Water Treatment</t>
  </si>
  <si>
    <t>500.2025.0001</t>
  </si>
  <si>
    <t>WCA STP Upgrade - Irrigation Field</t>
  </si>
  <si>
    <t>Supply of Pumps</t>
  </si>
  <si>
    <t>Doyawana Truck Hire</t>
  </si>
  <si>
    <t xml:space="preserve">Ebstar Pty Ltd T/A Milne Bros Equipment </t>
  </si>
  <si>
    <t>500.2025.0062</t>
  </si>
  <si>
    <t>Fleet - Supply &amp; Delivery of Various Mowers</t>
  </si>
  <si>
    <t>EMG Facility Services Pty Ltd T/A Austral Facility Services</t>
  </si>
  <si>
    <t>500.2022.0066</t>
  </si>
  <si>
    <t>Provision of Cleaning Services - Proserpine Region &amp; Dingo Beach/ Hydeaway Bay Region</t>
  </si>
  <si>
    <t>Ergon Energy Queensland Pty Ltd</t>
  </si>
  <si>
    <t>Utilities</t>
  </si>
  <si>
    <t>Etwell Commercial Cleaners</t>
  </si>
  <si>
    <t>F E Technologies Pty Ltd</t>
  </si>
  <si>
    <t>RFID Eqipment</t>
  </si>
  <si>
    <t>Fergus Builders Pty Ltd</t>
  </si>
  <si>
    <t>500.2025.0024</t>
  </si>
  <si>
    <t>Bowen Water Treatment Plant - High Lift Pump Building - Block Work Repair</t>
  </si>
  <si>
    <t>Fleetwood VIC &amp; QLD Pty Ltd</t>
  </si>
  <si>
    <t xml:space="preserve">State Contract </t>
  </si>
  <si>
    <t>Airlie Beach Amenities Block</t>
  </si>
  <si>
    <t>Forster Helicopters Pty Ltd T/A Helipower</t>
  </si>
  <si>
    <t>500.2022.0048</t>
  </si>
  <si>
    <t>Helicopter Services for Aerial Shooting</t>
  </si>
  <si>
    <t>Fulton Hogan Industries Pty Ltd</t>
  </si>
  <si>
    <t>500.2025.0077</t>
  </si>
  <si>
    <t>DRFA Betterment - Gloucester Avenue - Sealing Works</t>
  </si>
  <si>
    <t>Global Water Technologies Pty Ltd</t>
  </si>
  <si>
    <t>500.2025.0004</t>
  </si>
  <si>
    <t>Whitsunday Coast Airport (WCA) Sewage Treatment Plant Upgrade - Design and Construct</t>
  </si>
  <si>
    <t>Grid Electrics Group Pty Ltd</t>
  </si>
  <si>
    <t>500.2025.0008</t>
  </si>
  <si>
    <t>Bowen and Proserpine Swimming Pools - Solar Shade Structures</t>
  </si>
  <si>
    <t>Grimsey's Aquatics Pty Ltd</t>
  </si>
  <si>
    <t>500.2023.0059</t>
  </si>
  <si>
    <t>Bowen Swimming Pool Management Services</t>
  </si>
  <si>
    <t>Hach Pacific Pty Ltd</t>
  </si>
  <si>
    <t>Hastings Deering (Australia) Limited</t>
  </si>
  <si>
    <t>500.2020.0129/
500.2025.0014</t>
  </si>
  <si>
    <t xml:space="preserve">Provision of Quarry Plant Hire – Foxdale Quarry </t>
  </si>
  <si>
    <t>Infront Security Pty Ltd</t>
  </si>
  <si>
    <t>500.2022.0080</t>
  </si>
  <si>
    <t>Provision of Security Services</t>
  </si>
  <si>
    <t>JJ Richards &amp; Sons Pty Ltd</t>
  </si>
  <si>
    <t>Ad-hoc Waste Removal Services</t>
  </si>
  <si>
    <t>500.2023.0033</t>
  </si>
  <si>
    <t>Waste and Recyclables Collection Services</t>
  </si>
  <si>
    <t>500.2021.0009</t>
  </si>
  <si>
    <t>Waste Facility Operation Services for Cannonvale Transfer Station</t>
  </si>
  <si>
    <t>500.2022.0075</t>
  </si>
  <si>
    <t>Waste Facility Operation Services for Collinsville Transfer Station</t>
  </si>
  <si>
    <t>John's Plumbing Service</t>
  </si>
  <si>
    <t>LD &amp; LJ Hillery Pty Limited</t>
  </si>
  <si>
    <t>LB341</t>
  </si>
  <si>
    <t>Local Buy - Quarry Products &amp; Geosynthetics</t>
  </si>
  <si>
    <t>500.2026.0005</t>
  </si>
  <si>
    <t>DRFA Road Package Y6 - Johnny Cake Rd</t>
  </si>
  <si>
    <t>Supply of Materials</t>
  </si>
  <si>
    <t>500.2025.0055</t>
  </si>
  <si>
    <t>DRFA Road Package BK6 - Collinsville West</t>
  </si>
  <si>
    <t>500.2025.0040</t>
  </si>
  <si>
    <t>DRFA Road Package W6 - Scartwater</t>
  </si>
  <si>
    <t>500.2025.0046</t>
  </si>
  <si>
    <t>DRFA Road Package I6-Mt Wyatt Rd Culvert Partical Replacement</t>
  </si>
  <si>
    <t>Leading Roles</t>
  </si>
  <si>
    <t>LB297</t>
  </si>
  <si>
    <t>Local Buy – Recruitment Services : Permanent Staff</t>
  </si>
  <si>
    <t>LB334</t>
  </si>
  <si>
    <t>Local Buy - Recruitment Services : Temporary &amp; Labour Hire</t>
  </si>
  <si>
    <t>Lennys Landcsaping</t>
  </si>
  <si>
    <t>500.2025.0044</t>
  </si>
  <si>
    <t>Playground and Parks Asset Renewal Installations</t>
  </si>
  <si>
    <t>Lindsay Projects Pty Ltd</t>
  </si>
  <si>
    <t>LMP Project Services Pty Ltd</t>
  </si>
  <si>
    <t>Local Government Association of Qld Inc (LGAQ)</t>
  </si>
  <si>
    <t>LG Reg 234</t>
  </si>
  <si>
    <t>Annual Membership &amp; Software Licences</t>
  </si>
  <si>
    <t>McCullough Robertson Lawyers</t>
  </si>
  <si>
    <t>500.2021.0091</t>
  </si>
  <si>
    <t>Legal Services</t>
  </si>
  <si>
    <t>McDonald Smith Plumbing Pty Ltd</t>
  </si>
  <si>
    <t>Minecorp Fencing</t>
  </si>
  <si>
    <t>500.2024.0075</t>
  </si>
  <si>
    <t>Regionwide Fencing Package</t>
  </si>
  <si>
    <t>Mirthill Pty Ltd</t>
  </si>
  <si>
    <t>Moulding Excavations</t>
  </si>
  <si>
    <t xml:space="preserve">Provision of Plant &amp; Equipment Hire </t>
  </si>
  <si>
    <t>Mr Mark Huston T/A Lake Proserpine Glamping</t>
  </si>
  <si>
    <t>500.2023.0075</t>
  </si>
  <si>
    <t>Caretaker Services – Lake Proserpine Campground</t>
  </si>
  <si>
    <t>Paradise Engineering</t>
  </si>
  <si>
    <t>Peak Services</t>
  </si>
  <si>
    <t>LB328</t>
  </si>
  <si>
    <t>Local Buy - People &amp; Wellbeing Services (Human Resources)</t>
  </si>
  <si>
    <t>Phronis Pty Ltd</t>
  </si>
  <si>
    <t>Pilchers Pre-Mix Concrete</t>
  </si>
  <si>
    <t>Concrete Supply</t>
  </si>
  <si>
    <t>PINKGLEN PTY  LTD T/A SAUNDERS ELECTRICS</t>
  </si>
  <si>
    <t>500.2024.0028</t>
  </si>
  <si>
    <t>Collinsville Aerodrome Airfield Lighting Upgrade</t>
  </si>
  <si>
    <t>Plants Whitsunday Pty Ltd</t>
  </si>
  <si>
    <t>500.2022.0083</t>
  </si>
  <si>
    <t>Design, Supply and Installation of Bicentennial Boardwalk Upgrade</t>
  </si>
  <si>
    <t>Powerup Project Reticulation Pty Ltd</t>
  </si>
  <si>
    <t>Project Delivery Managers Pty Ltd</t>
  </si>
  <si>
    <t>500.2021.0050</t>
  </si>
  <si>
    <t xml:space="preserve">Provision of Project Management Services Disaster Recovery Funding Arrangements (DRFA) </t>
  </si>
  <si>
    <t xml:space="preserve"> </t>
  </si>
  <si>
    <t>Proserpine Electrical Services</t>
  </si>
  <si>
    <t>Proserpine Machinery Services</t>
  </si>
  <si>
    <t>500.2025.0019</t>
  </si>
  <si>
    <t>Fleet - Supply and Delivery of 4WD Tractors</t>
  </si>
  <si>
    <t>Proserpine Septic Service</t>
  </si>
  <si>
    <t>PSA Consulting Australia</t>
  </si>
  <si>
    <t>LB335</t>
  </si>
  <si>
    <t>Local Buy - Planning, Surveying, Design &amp; Architecture</t>
  </si>
  <si>
    <t>PVE Civil Solutions Pty Ltd</t>
  </si>
  <si>
    <t>500.2025.0058</t>
  </si>
  <si>
    <t>PMS - Roads, Pedestrians &amp; Stormwater Program</t>
  </si>
  <si>
    <t>PW Landscapes Pty Ltd (formerly Plants Whitsunday)</t>
  </si>
  <si>
    <t>500.2023.0005</t>
  </si>
  <si>
    <t>Landscaping Services for Port of Airlie and Boathaven Beach</t>
  </si>
  <si>
    <t>Queensland Audit Office</t>
  </si>
  <si>
    <t>State Government</t>
  </si>
  <si>
    <t>Annual audit fees 2025</t>
  </si>
  <si>
    <t>Queensland Central Bitumen Pty Ltd</t>
  </si>
  <si>
    <t>LB313</t>
  </si>
  <si>
    <t>Local Buy - Road and General Civil Construction</t>
  </si>
  <si>
    <t>R J Wilson</t>
  </si>
  <si>
    <t>RC Baxter Grader Hire Pty Ltd</t>
  </si>
  <si>
    <t>Red Emporer Constructions</t>
  </si>
  <si>
    <t>500.2025.0050</t>
  </si>
  <si>
    <t>Dingo Beach Swimming Enc. - Refurbishment</t>
  </si>
  <si>
    <t>Refrigerated Technologies Pty Ltd</t>
  </si>
  <si>
    <t>500.2024.0041</t>
  </si>
  <si>
    <t>Heating, Ventilation &amp; Airconditioning (HVAC) Maintenance Services</t>
  </si>
  <si>
    <t>Roebuck Civil Pty Ltd</t>
  </si>
  <si>
    <t>500.2025.0025</t>
  </si>
  <si>
    <t>Jubiliee Pocket Trunk Watermain - Design &amp; Construct</t>
  </si>
  <si>
    <t>500.2025.0026</t>
  </si>
  <si>
    <t>Whitsunday Coast Airport (WCA) - Sewage Pump Station - Design and Construct</t>
  </si>
  <si>
    <t>500.2025.0047</t>
  </si>
  <si>
    <t>Stanley Drive - Watermain Supply &amp; Install</t>
  </si>
  <si>
    <t>RP Infrastructure Pty Ltd</t>
  </si>
  <si>
    <t>500.2025.0037</t>
  </si>
  <si>
    <t>Project Management Services - Whitsunday Regional Sports Precinct</t>
  </si>
  <si>
    <t>Seaforth Civil Pty Ltd</t>
  </si>
  <si>
    <t>500.2025.0028</t>
  </si>
  <si>
    <t>Whitsunday Coast Airport Sewage 
Treatment Plant – Access Road</t>
  </si>
  <si>
    <t>Searle Plumbing Pty Ltd</t>
  </si>
  <si>
    <t>500.2025.0061</t>
  </si>
  <si>
    <t>Passage Avenue Watermain Installation</t>
  </si>
  <si>
    <t>Searles Haulage Pty Ltd</t>
  </si>
  <si>
    <t>500.2025.0056</t>
  </si>
  <si>
    <t>DRFA Road Package D6 - Collinsville South</t>
  </si>
  <si>
    <t>500.2026.0004</t>
  </si>
  <si>
    <t>DRFA Road Package F6 - Rutherford Rd</t>
  </si>
  <si>
    <t>Shepherd Services Pty Ltd</t>
  </si>
  <si>
    <t>LB280</t>
  </si>
  <si>
    <t>Asset Accounting Support</t>
  </si>
  <si>
    <t>Sherrin Rentals</t>
  </si>
  <si>
    <t>SMEC Australia Pty Ltd</t>
  </si>
  <si>
    <t>500.2024.0073</t>
  </si>
  <si>
    <t>Airlie Beach - Electrical, Lighting, CCTV and Communications Mapping</t>
  </si>
  <si>
    <t>Splash Pools</t>
  </si>
  <si>
    <t>Airlie Beach Lagoon - Operational Works</t>
  </si>
  <si>
    <t>Sunwater Limited</t>
  </si>
  <si>
    <t>Executed Supply Agreement</t>
  </si>
  <si>
    <t>Sunwater Executed Supply Agreement</t>
  </si>
  <si>
    <t>Technology One Ltd</t>
  </si>
  <si>
    <t>500.2017.0067</t>
  </si>
  <si>
    <t>AMS Agreement 201911</t>
  </si>
  <si>
    <t>Telstra Ltd</t>
  </si>
  <si>
    <t>NPN1.18</t>
  </si>
  <si>
    <t>Local Buy - Telecommunication Services</t>
  </si>
  <si>
    <t>The Pittard Rush Group Pty Ltd</t>
  </si>
  <si>
    <t>500.2024.0058</t>
  </si>
  <si>
    <t>Airlie Beach Lagoon - Water Maintenance Services</t>
  </si>
  <si>
    <t>500.2023.0069</t>
  </si>
  <si>
    <t>Management Services for the Proserpine Pool and Water Park</t>
  </si>
  <si>
    <t>The Rob Stoneham Family Trust</t>
  </si>
  <si>
    <t>Tourism Whitsundays</t>
  </si>
  <si>
    <t>Annual Funding Agreement</t>
  </si>
  <si>
    <t>Townsville City Council</t>
  </si>
  <si>
    <t>LG Reg 235 (f)</t>
  </si>
  <si>
    <t>Regulatory Testing</t>
  </si>
  <si>
    <t>Tropic Distributors Pty Ltd</t>
  </si>
  <si>
    <t>TRUST ONLY - Fergus Builders Pty Ltd</t>
  </si>
  <si>
    <t>500.2025.0052</t>
  </si>
  <si>
    <t>Collinsville Community Hub - Construction</t>
  </si>
  <si>
    <t>Ultimate Cleaning &amp; Maintenance Solutions</t>
  </si>
  <si>
    <t>500.2022.0007</t>
  </si>
  <si>
    <t>Wangaratta Caravan Park Maintenance  2025/2026</t>
  </si>
  <si>
    <t>Urbis Pty Ltd</t>
  </si>
  <si>
    <t>500.2024.0070</t>
  </si>
  <si>
    <t>Shute Harbour Precinct Plan</t>
  </si>
  <si>
    <t>Vicinity Real Estate Licence Pty Ltd</t>
  </si>
  <si>
    <t>510.2023.0002</t>
  </si>
  <si>
    <t>Cannonvale Library - Base Rent</t>
  </si>
  <si>
    <t>Vocus Pty Ltd</t>
  </si>
  <si>
    <t>NPN.18</t>
  </si>
  <si>
    <t>Wanless Waste Management North QLD Pty Ltd</t>
  </si>
  <si>
    <t>500.2024.0061</t>
  </si>
  <si>
    <t>Waste Facility Operation and Management Services for Bowen 
and Kelsey Creek Landfills</t>
  </si>
  <si>
    <t>Waste Levy - Department of Environment Science &amp; Innovation</t>
  </si>
  <si>
    <t>Waste Levy &amp; Bowen Landfill Annual Permit Fee</t>
  </si>
  <si>
    <t>Water Services Engineering Pty Ltd</t>
  </si>
  <si>
    <t>500.2025.0013</t>
  </si>
  <si>
    <t>Water and Wastewater Electrical Switchboard Condition Assessment</t>
  </si>
  <si>
    <t>Western Truck Group Pty Ltd</t>
  </si>
  <si>
    <t>500.2024.FL006</t>
  </si>
  <si>
    <t>Supply &amp; Delivery of Workshop Service Trucks &amp; Accessories</t>
  </si>
  <si>
    <t>Whitsunday Rivers Improvement Trust</t>
  </si>
  <si>
    <t>Whitsunday Rivers Improvement Trust's Precept for 2025-2026</t>
  </si>
  <si>
    <t>Whitsunday Transit</t>
  </si>
  <si>
    <t>LG Reg 235 (a)</t>
  </si>
  <si>
    <t>Shute Harbour Cruise Ship Buses</t>
  </si>
  <si>
    <t>Willplay Pty Ltd</t>
  </si>
  <si>
    <t>Wilson Security Pty Ltd</t>
  </si>
  <si>
    <t>500.2024.0031</t>
  </si>
  <si>
    <t>Airport Screening Services – Whitsunday Coast Airport (WCA)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</si>
</sst>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03A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thin">
        <color theme="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2" applyFont="1" applyAlignment="1">
      <alignment vertical="center"/>
    </xf>
    <xf numFmtId="0" fontId="1" fillId="0" borderId="0" xfId="2"/>
    <xf numFmtId="0" fontId="1" fillId="0" borderId="0" xfId="2" applyAlignment="1">
      <alignment horizontal="center" vertical="center"/>
    </xf>
    <xf numFmtId="0" fontId="1" fillId="0" borderId="0" xfId="2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0" fillId="0" borderId="3" xfId="2" applyFont="1" applyBorder="1" applyAlignment="1">
      <alignment horizontal="left" vertical="center"/>
    </xf>
    <xf numFmtId="0" fontId="0" fillId="0" borderId="3" xfId="2" applyFont="1" applyBorder="1" applyAlignment="1">
      <alignment horizontal="center" vertical="center"/>
    </xf>
    <xf numFmtId="0" fontId="0" fillId="0" borderId="4" xfId="2" applyFont="1" applyBorder="1" applyAlignment="1">
      <alignment horizontal="center" vertical="center"/>
    </xf>
    <xf numFmtId="8" fontId="4" fillId="0" borderId="4" xfId="2" applyNumberFormat="1" applyFont="1" applyBorder="1" applyAlignment="1">
      <alignment horizontal="right" vertical="center"/>
    </xf>
    <xf numFmtId="0" fontId="0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8" fontId="4" fillId="0" borderId="5" xfId="2" applyNumberFormat="1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8" fontId="4" fillId="0" borderId="3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0" fillId="0" borderId="3" xfId="2" applyFont="1" applyBorder="1" applyAlignment="1">
      <alignment vertical="center"/>
    </xf>
    <xf numFmtId="0" fontId="0" fillId="0" borderId="3" xfId="2" applyFont="1" applyBorder="1" applyAlignment="1">
      <alignment horizontal="center" vertical="center" wrapText="1"/>
    </xf>
    <xf numFmtId="0" fontId="0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/>
    </xf>
    <xf numFmtId="0" fontId="0" fillId="0" borderId="4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5" xfId="2" applyFont="1" applyBorder="1" applyAlignment="1">
      <alignment vertical="center"/>
    </xf>
    <xf numFmtId="0" fontId="0" fillId="0" borderId="3" xfId="2" applyFont="1" applyBorder="1" applyAlignment="1">
      <alignment horizontal="left" vertical="center" wrapText="1"/>
    </xf>
    <xf numFmtId="0" fontId="0" fillId="0" borderId="5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0" fillId="0" borderId="7" xfId="2" applyFont="1" applyBorder="1" applyAlignment="1">
      <alignment horizontal="center" vertical="center" wrapText="1"/>
    </xf>
    <xf numFmtId="8" fontId="4" fillId="0" borderId="7" xfId="2" applyNumberFormat="1" applyFont="1" applyBorder="1" applyAlignment="1">
      <alignment horizontal="right" vertical="center"/>
    </xf>
    <xf numFmtId="0" fontId="0" fillId="0" borderId="7" xfId="2" applyFont="1" applyBorder="1" applyAlignment="1">
      <alignment horizontal="center" vertical="center"/>
    </xf>
    <xf numFmtId="0" fontId="0" fillId="0" borderId="4" xfId="2" applyFont="1" applyBorder="1" applyAlignment="1">
      <alignment horizontal="left" vertical="center" wrapText="1"/>
    </xf>
    <xf numFmtId="0" fontId="0" fillId="0" borderId="8" xfId="2" applyFont="1" applyBorder="1" applyAlignment="1">
      <alignment horizontal="center" vertical="center"/>
    </xf>
    <xf numFmtId="8" fontId="4" fillId="0" borderId="8" xfId="2" applyNumberFormat="1" applyFont="1" applyBorder="1" applyAlignment="1">
      <alignment horizontal="right" vertical="center"/>
    </xf>
    <xf numFmtId="0" fontId="0" fillId="0" borderId="9" xfId="2" applyFont="1" applyBorder="1" applyAlignment="1">
      <alignment horizontal="center" vertical="center"/>
    </xf>
    <xf numFmtId="8" fontId="4" fillId="0" borderId="9" xfId="2" applyNumberFormat="1" applyFont="1" applyBorder="1" applyAlignment="1">
      <alignment horizontal="right" vertical="center"/>
    </xf>
    <xf numFmtId="0" fontId="0" fillId="0" borderId="3" xfId="2" applyFont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0" fontId="4" fillId="0" borderId="4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 wrapText="1"/>
    </xf>
    <xf numFmtId="8" fontId="4" fillId="0" borderId="4" xfId="2" applyNumberFormat="1" applyFont="1" applyBorder="1" applyAlignment="1">
      <alignment horizontal="right" vertical="center" wrapText="1"/>
    </xf>
    <xf numFmtId="8" fontId="4" fillId="0" borderId="5" xfId="2" applyNumberFormat="1" applyFont="1" applyBorder="1" applyAlignment="1">
      <alignment horizontal="right" vertical="center" wrapText="1"/>
    </xf>
    <xf numFmtId="8" fontId="4" fillId="0" borderId="3" xfId="2" applyNumberFormat="1" applyFont="1" applyBorder="1" applyAlignment="1">
      <alignment horizontal="right" vertical="center" wrapText="1"/>
    </xf>
    <xf numFmtId="0" fontId="4" fillId="0" borderId="4" xfId="2" applyFont="1" applyBorder="1" applyAlignment="1">
      <alignment vertical="center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3" xfId="2" applyFont="1" applyBorder="1" applyAlignment="1">
      <alignment vertical="center" wrapText="1"/>
    </xf>
    <xf numFmtId="0" fontId="4" fillId="0" borderId="5" xfId="2" applyFont="1" applyBorder="1" applyAlignment="1">
      <alignment horizontal="left" vertical="center" wrapText="1"/>
    </xf>
    <xf numFmtId="0" fontId="4" fillId="0" borderId="8" xfId="2" applyFont="1" applyBorder="1" applyAlignment="1">
      <alignment vertical="center"/>
    </xf>
    <xf numFmtId="0" fontId="0" fillId="0" borderId="9" xfId="2" applyFont="1" applyBorder="1" applyAlignment="1">
      <alignment horizontal="left" vertical="center"/>
    </xf>
    <xf numFmtId="164" fontId="4" fillId="0" borderId="3" xfId="2" applyNumberFormat="1" applyFont="1" applyBorder="1" applyAlignment="1">
      <alignment horizontal="right" vertical="center"/>
    </xf>
    <xf numFmtId="43" fontId="1" fillId="0" borderId="0" xfId="1" applyFont="1"/>
    <xf numFmtId="164" fontId="4" fillId="0" borderId="5" xfId="2" applyNumberFormat="1" applyFont="1" applyBorder="1" applyAlignment="1">
      <alignment horizontal="right" vertical="center"/>
    </xf>
    <xf numFmtId="43" fontId="1" fillId="0" borderId="0" xfId="2" applyNumberFormat="1"/>
    <xf numFmtId="8" fontId="1" fillId="0" borderId="0" xfId="2" applyNumberFormat="1" applyAlignment="1">
      <alignment horizontal="center"/>
    </xf>
    <xf numFmtId="8" fontId="1" fillId="0" borderId="0" xfId="2" applyNumberFormat="1"/>
  </cellXfs>
  <cellStyles count="3">
    <cellStyle name="Comma" xfId="1" builtinId="3"/>
    <cellStyle name="Normal" xfId="0" builtinId="0"/>
    <cellStyle name="Normal 2" xfId="2" xr:uid="{4107E424-99DA-41DB-B1C9-B4E54C6DB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8</xdr:row>
      <xdr:rowOff>0</xdr:rowOff>
    </xdr:from>
    <xdr:to>
      <xdr:col>3</xdr:col>
      <xdr:colOff>153646</xdr:colOff>
      <xdr:row>14</xdr:row>
      <xdr:rowOff>171633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934A4B-0902-4CEA-A48C-3220CDED2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524000"/>
          <a:ext cx="8926171" cy="1314633"/>
        </a:xfrm>
        <a:prstGeom prst="rect">
          <a:avLst/>
        </a:prstGeom>
      </xdr:spPr>
    </xdr:pic>
    <xdr:clientData/>
  </xdr:twoCellAnchor>
  <xdr:twoCellAnchor>
    <xdr:from>
      <xdr:col>0</xdr:col>
      <xdr:colOff>1013481</xdr:colOff>
      <xdr:row>2</xdr:row>
      <xdr:rowOff>160502</xdr:rowOff>
    </xdr:from>
    <xdr:to>
      <xdr:col>2</xdr:col>
      <xdr:colOff>3670956</xdr:colOff>
      <xdr:row>7</xdr:row>
      <xdr:rowOff>150977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565068-97FD-4428-A8C5-72F5C5D7007D}"/>
            </a:ext>
          </a:extLst>
        </xdr:cNvPr>
        <xdr:cNvSpPr txBox="1"/>
      </xdr:nvSpPr>
      <xdr:spPr>
        <a:xfrm>
          <a:off x="1013481" y="541502"/>
          <a:ext cx="769620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rgbClr val="339933"/>
              </a:solidFill>
            </a:rPr>
            <a:t>Contracts</a:t>
          </a:r>
          <a:r>
            <a:rPr lang="en-AU" sz="2400" b="1" baseline="0">
              <a:solidFill>
                <a:srgbClr val="339933"/>
              </a:solidFill>
            </a:rPr>
            <a:t> Valued at $200,000 or more</a:t>
          </a:r>
        </a:p>
        <a:p>
          <a:pPr algn="ctr"/>
          <a:r>
            <a:rPr lang="en-AU" sz="2400" b="1" baseline="0">
              <a:solidFill>
                <a:srgbClr val="339933"/>
              </a:solidFill>
            </a:rPr>
            <a:t>Reporting Period: 1 March 2025 to 28 February 2026</a:t>
          </a:r>
          <a:endParaRPr lang="en-AU" sz="2400" b="1">
            <a:solidFill>
              <a:srgbClr val="339933"/>
            </a:solidFill>
          </a:endParaRPr>
        </a:p>
      </xdr:txBody>
    </xdr:sp>
    <xdr:clientData/>
  </xdr:twoCellAnchor>
  <xdr:twoCellAnchor editAs="oneCell">
    <xdr:from>
      <xdr:col>2</xdr:col>
      <xdr:colOff>2943225</xdr:colOff>
      <xdr:row>0</xdr:row>
      <xdr:rowOff>28575</xdr:rowOff>
    </xdr:from>
    <xdr:to>
      <xdr:col>3</xdr:col>
      <xdr:colOff>994253</xdr:colOff>
      <xdr:row>3</xdr:row>
      <xdr:rowOff>109404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634F96-9A41-405E-8F7F-0986EE982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50" y="28575"/>
          <a:ext cx="2584928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S\PAFF\Procurement\Contracts\Contract%20values%20$200k\2025%202026\2026%2002%20February\Contracts%20over%20$200k%20February%2026%20FINAL.xlsx" TargetMode="External"/><Relationship Id="rId1" Type="http://schemas.openxmlformats.org/officeDocument/2006/relationships/externalLinkPath" Target="Contracts%20over%20$200k%20February%2026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 Dump"/>
      <sheetName val="PIVOT 12MTHS"/>
      <sheetName val="PIVOT FY"/>
      <sheetName val="Spend per threshold section"/>
      <sheetName val="Spend per contract "/>
      <sheetName val="Spend per supplier"/>
      <sheetName val="PO Updates"/>
      <sheetName val="Print Version of Report"/>
      <sheetName val="Orders 01.07.2025 to 28.02.2026"/>
      <sheetName val="Orders 1.03.2025 - 28.02.2026"/>
      <sheetName val="AP Vendor List"/>
      <sheetName val="Regional Chart"/>
      <sheetName val="Local Buy Query Order Vals Piv"/>
      <sheetName val="Local Buy Query Inv Vals Pivot"/>
    </sheetNames>
    <definedNames>
      <definedName name="W3413LB299" sheetId="0"/>
    </definedNames>
    <sheetDataSet>
      <sheetData sheetId="0"/>
      <sheetData sheetId="1">
        <row r="68">
          <cell r="D68">
            <v>577069</v>
          </cell>
        </row>
        <row r="147">
          <cell r="D147">
            <v>724967.01</v>
          </cell>
        </row>
        <row r="313">
          <cell r="D313">
            <v>249159.5</v>
          </cell>
        </row>
        <row r="320">
          <cell r="D320">
            <v>3506086.29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C58C-AC6C-4C8C-A2DD-3260536E1EB7}">
  <sheetPr>
    <tabColor rgb="FFFFCCFF"/>
    <pageSetUpPr fitToPage="1"/>
  </sheetPr>
  <dimension ref="A1:J3410"/>
  <sheetViews>
    <sheetView tabSelected="1" view="pageBreakPreview" zoomScale="87" zoomScaleNormal="100" zoomScaleSheetLayoutView="87" workbookViewId="0">
      <selection activeCell="H28" sqref="H28"/>
    </sheetView>
  </sheetViews>
  <sheetFormatPr defaultColWidth="8.7109375" defaultRowHeight="15" x14ac:dyDescent="0.25"/>
  <cols>
    <col min="1" max="1" width="47.5703125" style="2" customWidth="1"/>
    <col min="2" max="2" width="28" style="2" customWidth="1"/>
    <col min="3" max="3" width="68" style="3" customWidth="1"/>
    <col min="4" max="4" width="16.42578125" style="4" customWidth="1"/>
    <col min="5" max="5" width="9.7109375" style="2" customWidth="1"/>
    <col min="6" max="6" width="8.7109375" style="2"/>
    <col min="7" max="7" width="13.28515625" style="2" bestFit="1" customWidth="1"/>
    <col min="8" max="8" width="22.28515625" style="2" customWidth="1"/>
    <col min="9" max="9" width="10.5703125" style="2" bestFit="1" customWidth="1"/>
    <col min="10" max="10" width="11.5703125" style="2" bestFit="1" customWidth="1"/>
    <col min="11" max="16384" width="8.7109375" style="2"/>
  </cols>
  <sheetData>
    <row r="1" spans="1:4" x14ac:dyDescent="0.25">
      <c r="A1" s="1"/>
    </row>
    <row r="2" spans="1:4" x14ac:dyDescent="0.25">
      <c r="A2" s="1"/>
    </row>
    <row r="3" spans="1:4" x14ac:dyDescent="0.25">
      <c r="A3" s="1"/>
    </row>
    <row r="4" spans="1:4" x14ac:dyDescent="0.25">
      <c r="A4" s="1"/>
    </row>
    <row r="5" spans="1:4" x14ac:dyDescent="0.25">
      <c r="A5" s="1"/>
    </row>
    <row r="15" spans="1:4" ht="15.75" thickBot="1" x14ac:dyDescent="0.3"/>
    <row r="16" spans="1:4" ht="63.75" customHeight="1" thickBot="1" x14ac:dyDescent="0.3">
      <c r="A16" s="5" t="s">
        <v>0</v>
      </c>
      <c r="B16" s="6" t="s">
        <v>1</v>
      </c>
      <c r="C16" s="5" t="s">
        <v>2</v>
      </c>
      <c r="D16" s="5" t="s">
        <v>3</v>
      </c>
    </row>
    <row r="17" spans="1:4" x14ac:dyDescent="0.25">
      <c r="A17" s="7" t="s">
        <v>4</v>
      </c>
      <c r="B17" s="8" t="s">
        <v>5</v>
      </c>
      <c r="C17" s="9" t="s">
        <v>6</v>
      </c>
      <c r="D17" s="10">
        <f>GETPIVOTDATA("Order Amount (Exclusive)",'[1]PIVOT 12MTHS'!$A$4,"Supplier Name","360 Engineering Pty Ltd","Contract #s (manually updated)","LB308")</f>
        <v>281260.08</v>
      </c>
    </row>
    <row r="18" spans="1:4" ht="15.75" thickBot="1" x14ac:dyDescent="0.3">
      <c r="A18" s="11"/>
      <c r="B18" s="12"/>
      <c r="C18" s="12"/>
      <c r="D18" s="13"/>
    </row>
    <row r="19" spans="1:4" x14ac:dyDescent="0.25">
      <c r="A19" s="7" t="s">
        <v>7</v>
      </c>
      <c r="B19" s="8" t="s">
        <v>8</v>
      </c>
      <c r="C19" s="14" t="s">
        <v>9</v>
      </c>
      <c r="D19" s="15">
        <f>GETPIVOTDATA("Order Amount (Exclusive)",'[1]PIVOT 12MTHS'!$A$4,"Supplier Name","AB Livestock and Contracting Pty Ltd","Contract #s (manually updated)","500.2024.0043")</f>
        <v>214755</v>
      </c>
    </row>
    <row r="20" spans="1:4" ht="15.75" thickBot="1" x14ac:dyDescent="0.3">
      <c r="A20" s="16"/>
      <c r="B20" s="17"/>
      <c r="C20" s="12"/>
      <c r="D20" s="13"/>
    </row>
    <row r="21" spans="1:4" x14ac:dyDescent="0.25">
      <c r="A21" s="7" t="s">
        <v>10</v>
      </c>
      <c r="B21" s="8" t="s">
        <v>11</v>
      </c>
      <c r="C21" s="9" t="s">
        <v>12</v>
      </c>
      <c r="D21" s="10">
        <f>GETPIVOTDATA("Order Amount (Exclusive)",'[1]PIVOT 12MTHS'!$A$4,"Supplier Name","AECOM Australia Pty Ltd","Contract #s (manually updated)","LB312")</f>
        <v>270820</v>
      </c>
    </row>
    <row r="22" spans="1:4" ht="15.75" thickBot="1" x14ac:dyDescent="0.3">
      <c r="A22" s="11"/>
      <c r="B22" s="18"/>
      <c r="C22" s="18"/>
      <c r="D22" s="13"/>
    </row>
    <row r="23" spans="1:4" x14ac:dyDescent="0.25">
      <c r="A23" s="7" t="s">
        <v>13</v>
      </c>
      <c r="B23" s="8" t="s">
        <v>11</v>
      </c>
      <c r="C23" s="9" t="s">
        <v>12</v>
      </c>
      <c r="D23" s="15">
        <f>GETPIVOTDATA("Order Amount (Exclusive)",'[1]PIVOT 12MTHS'!$A$4,"Supplier Name","Alluvium Consulting Australia Pty Ltd","Contract #s (manually updated)","LB312")</f>
        <v>227165</v>
      </c>
    </row>
    <row r="24" spans="1:4" ht="15.75" thickBot="1" x14ac:dyDescent="0.3">
      <c r="A24" s="11"/>
      <c r="B24" s="18"/>
      <c r="C24" s="18"/>
      <c r="D24" s="13"/>
    </row>
    <row r="25" spans="1:4" x14ac:dyDescent="0.25">
      <c r="A25" s="19" t="s">
        <v>14</v>
      </c>
      <c r="B25" s="14" t="s">
        <v>15</v>
      </c>
      <c r="C25" s="14" t="s">
        <v>16</v>
      </c>
      <c r="D25" s="15">
        <f>GETPIVOTDATA("Order Amount (Exclusive)",'[1]PIVOT 12MTHS'!$A$4,"Supplier Name","Ampol Australia Petroleum Pty Ltd","Contract #s (manually updated)","LB321")</f>
        <v>2701847.7499999995</v>
      </c>
    </row>
    <row r="26" spans="1:4" ht="15.75" thickBot="1" x14ac:dyDescent="0.3">
      <c r="A26" s="20"/>
      <c r="B26" s="12"/>
      <c r="C26" s="12"/>
      <c r="D26" s="13"/>
    </row>
    <row r="27" spans="1:4" x14ac:dyDescent="0.25">
      <c r="A27" s="7" t="s">
        <v>17</v>
      </c>
      <c r="B27" s="8" t="s">
        <v>18</v>
      </c>
      <c r="C27" s="8" t="s">
        <v>19</v>
      </c>
      <c r="D27" s="15">
        <f>GETPIVOTDATA("Order Amount (Exclusive)",'[1]PIVOT 12MTHS'!$A$4,"Supplier Name","Apex Engineering &amp; Management Pty Ltd","Contract #s (manually updated)","500.2025.0009")</f>
        <v>818855</v>
      </c>
    </row>
    <row r="28" spans="1:4" ht="15.75" thickBot="1" x14ac:dyDescent="0.3">
      <c r="A28" s="16"/>
      <c r="B28" s="12"/>
      <c r="C28" s="12"/>
      <c r="D28" s="13"/>
    </row>
    <row r="29" spans="1:4" x14ac:dyDescent="0.25">
      <c r="A29" s="7" t="s">
        <v>20</v>
      </c>
      <c r="B29" s="8" t="s">
        <v>21</v>
      </c>
      <c r="C29" s="8" t="s">
        <v>22</v>
      </c>
      <c r="D29" s="15">
        <f>GETPIVOTDATA("Order Amount (Exclusive)",'[1]PIVOT 12MTHS'!$A$4,"Supplier Name","ARV Tree Recycling Pty Ltd","Contract #s (manually updated)","500.2025.0057")</f>
        <v>313985.45</v>
      </c>
    </row>
    <row r="30" spans="1:4" ht="15.75" thickBot="1" x14ac:dyDescent="0.3">
      <c r="A30" s="16"/>
      <c r="B30" s="12"/>
      <c r="C30" s="12"/>
      <c r="D30" s="13"/>
    </row>
    <row r="31" spans="1:4" x14ac:dyDescent="0.25">
      <c r="A31" s="21" t="s">
        <v>23</v>
      </c>
      <c r="B31" s="8" t="s">
        <v>5</v>
      </c>
      <c r="C31" s="8" t="s">
        <v>6</v>
      </c>
      <c r="D31" s="15">
        <f>GETPIVOTDATA("Order Amount (Exclusive)",'[1]PIVOT 12MTHS'!$A$4,"Supplier Name","Axios Consulting Services Pty Ltd","Contract #s (manually updated)","LB308")</f>
        <v>476297.64</v>
      </c>
    </row>
    <row r="32" spans="1:4" ht="15.75" thickBot="1" x14ac:dyDescent="0.3">
      <c r="A32" s="20"/>
      <c r="B32" s="12"/>
      <c r="C32" s="12"/>
      <c r="D32" s="13"/>
    </row>
    <row r="33" spans="1:4" x14ac:dyDescent="0.25">
      <c r="A33" s="21" t="s">
        <v>24</v>
      </c>
      <c r="B33" s="8" t="s">
        <v>25</v>
      </c>
      <c r="C33" s="8" t="s">
        <v>26</v>
      </c>
      <c r="D33" s="15">
        <f>GETPIVOTDATA("Order Amount (Exclusive)",'[1]PIVOT 12MTHS'!$A$4,"Supplier Name","Beards Drilling Pty Ltd","Contract #s (manually updated)",)</f>
        <v>353089.75</v>
      </c>
    </row>
    <row r="34" spans="1:4" ht="15.75" thickBot="1" x14ac:dyDescent="0.3">
      <c r="A34" s="20"/>
      <c r="B34" s="12"/>
      <c r="C34" s="12"/>
      <c r="D34" s="13"/>
    </row>
    <row r="35" spans="1:4" x14ac:dyDescent="0.25">
      <c r="A35" s="7" t="s">
        <v>27</v>
      </c>
      <c r="B35" s="8" t="s">
        <v>28</v>
      </c>
      <c r="C35" s="8" t="s">
        <v>29</v>
      </c>
      <c r="D35" s="15">
        <f>GETPIVOTDATA("Order Amount (Exclusive)",'[1]PIVOT 12MTHS'!$A$4,"Supplier Name","Bigsplash Playgrounds Pty Ltd","Contract #s (manually updated)","LB303")</f>
        <v>496516.49000000005</v>
      </c>
    </row>
    <row r="36" spans="1:4" ht="15.75" thickBot="1" x14ac:dyDescent="0.3">
      <c r="A36" s="16"/>
      <c r="B36" s="12"/>
      <c r="C36" s="12"/>
      <c r="D36" s="13"/>
    </row>
    <row r="37" spans="1:4" x14ac:dyDescent="0.25">
      <c r="A37" s="7" t="s">
        <v>30</v>
      </c>
      <c r="B37" s="22" t="s">
        <v>31</v>
      </c>
      <c r="C37" s="8" t="s">
        <v>32</v>
      </c>
      <c r="D37" s="15">
        <f>GETPIVOTDATA("Order Amount (Exclusive)",'[1]PIVOT 12MTHS'!$A$4,"Supplier Name","BJM Contracting","Contract #s (manually updated)","500.2023.0019")</f>
        <v>288111.5</v>
      </c>
    </row>
    <row r="38" spans="1:4" x14ac:dyDescent="0.25">
      <c r="A38" s="23"/>
      <c r="B38" s="24"/>
      <c r="C38" s="17"/>
      <c r="D38" s="10"/>
    </row>
    <row r="39" spans="1:4" x14ac:dyDescent="0.25">
      <c r="A39" s="23"/>
      <c r="B39" s="9" t="s">
        <v>25</v>
      </c>
      <c r="C39" s="9" t="s">
        <v>33</v>
      </c>
      <c r="D39" s="10">
        <f>GETPIVOTDATA("Order Amount (Exclusive)",'[1]PIVOT 12MTHS'!$A$4,"Supplier Name","BJM Contracting","Contract #s (manually updated)",)</f>
        <v>317980</v>
      </c>
    </row>
    <row r="40" spans="1:4" x14ac:dyDescent="0.25">
      <c r="A40" s="23"/>
      <c r="B40" s="17"/>
      <c r="C40" s="17"/>
      <c r="D40" s="10"/>
    </row>
    <row r="41" spans="1:4" x14ac:dyDescent="0.25">
      <c r="A41" s="23"/>
      <c r="B41" s="9" t="s">
        <v>8</v>
      </c>
      <c r="C41" s="17" t="s">
        <v>9</v>
      </c>
      <c r="D41" s="10">
        <f>GETPIVOTDATA("Order Amount (Exclusive)",'[1]PIVOT 12MTHS'!$A$4,"Supplier Name","BJM Contracting","Contract #s (manually updated)","500.2024.0043")</f>
        <v>271924.82</v>
      </c>
    </row>
    <row r="42" spans="1:4" ht="15.75" thickBot="1" x14ac:dyDescent="0.3">
      <c r="A42" s="11"/>
      <c r="B42" s="12"/>
      <c r="C42" s="12"/>
      <c r="D42" s="13"/>
    </row>
    <row r="43" spans="1:4" x14ac:dyDescent="0.25">
      <c r="A43" s="7" t="s">
        <v>34</v>
      </c>
      <c r="B43" s="8" t="s">
        <v>25</v>
      </c>
      <c r="C43" s="8" t="s">
        <v>35</v>
      </c>
      <c r="D43" s="15">
        <f>GETPIVOTDATA("Order Amount (Exclusive)",'[1]PIVOT 12MTHS'!$A$4,"Supplier Name","Bow Pak","Contract #s (manually updated)",)</f>
        <v>384741.35</v>
      </c>
    </row>
    <row r="44" spans="1:4" ht="15.75" thickBot="1" x14ac:dyDescent="0.3">
      <c r="A44" s="11"/>
      <c r="B44" s="12"/>
      <c r="C44" s="12"/>
      <c r="D44" s="13"/>
    </row>
    <row r="45" spans="1:4" x14ac:dyDescent="0.25">
      <c r="A45" s="7" t="s">
        <v>36</v>
      </c>
      <c r="B45" s="8" t="s">
        <v>37</v>
      </c>
      <c r="C45" s="8" t="s">
        <v>38</v>
      </c>
      <c r="D45" s="15">
        <f>GETPIVOTDATA("Order Amount (Exclusive)",'[1]PIVOT 12MTHS'!$A$4,"Supplier Name","BPMC Consult Pty Ltd","Contract #s (manually updated)","LB309")</f>
        <v>235020.3</v>
      </c>
    </row>
    <row r="46" spans="1:4" ht="15.75" thickBot="1" x14ac:dyDescent="0.3">
      <c r="A46" s="11"/>
      <c r="B46" s="18"/>
      <c r="C46" s="12"/>
      <c r="D46" s="13"/>
    </row>
    <row r="47" spans="1:4" x14ac:dyDescent="0.25">
      <c r="A47" s="25" t="s">
        <v>39</v>
      </c>
      <c r="B47" s="9" t="s">
        <v>40</v>
      </c>
      <c r="C47" s="26" t="s">
        <v>41</v>
      </c>
      <c r="D47" s="10">
        <f>GETPIVOTDATA("Order Amount (Exclusive)",'[1]PIVOT 12MTHS'!$A$4,"Supplier Name","Brodhurst Pty Ltd T/A Down to Earth Whitsundays","Contract #s (manually updated)","500.2024.0042.01")</f>
        <v>318519.18</v>
      </c>
    </row>
    <row r="48" spans="1:4" ht="15.75" thickBot="1" x14ac:dyDescent="0.3">
      <c r="A48" s="16"/>
      <c r="B48" s="18"/>
      <c r="C48" s="27"/>
      <c r="D48" s="13"/>
    </row>
    <row r="49" spans="1:4" x14ac:dyDescent="0.25">
      <c r="A49" s="7" t="s">
        <v>42</v>
      </c>
      <c r="B49" s="8" t="s">
        <v>11</v>
      </c>
      <c r="C49" s="9" t="s">
        <v>12</v>
      </c>
      <c r="D49" s="15">
        <f>GETPIVOTDATA("Order Amount (Exclusive)",'[1]PIVOT 12MTHS'!$A$4,"Supplier Name","Byrnes Asset Consultants Pty Ltd","Contract #s (manually updated)","LB312")</f>
        <v>255000</v>
      </c>
    </row>
    <row r="50" spans="1:4" ht="15.75" thickBot="1" x14ac:dyDescent="0.3">
      <c r="A50" s="16"/>
      <c r="B50" s="18"/>
      <c r="C50" s="18"/>
      <c r="D50" s="13"/>
    </row>
    <row r="51" spans="1:4" x14ac:dyDescent="0.25">
      <c r="A51" s="7" t="s">
        <v>43</v>
      </c>
      <c r="B51" s="8" t="s">
        <v>25</v>
      </c>
      <c r="C51" s="22" t="s">
        <v>44</v>
      </c>
      <c r="D51" s="15">
        <f>GETPIVOTDATA("Order Amount (Exclusive)",'[1]PIVOT 12MTHS'!$A$4,"Supplier Name","Camm Building Group Pty Ltd","Contract #s (manually updated)",)</f>
        <v>300236.3</v>
      </c>
    </row>
    <row r="52" spans="1:4" ht="15.75" thickBot="1" x14ac:dyDescent="0.3">
      <c r="A52" s="23"/>
      <c r="B52" s="18"/>
      <c r="C52" s="27"/>
      <c r="D52" s="13"/>
    </row>
    <row r="53" spans="1:4" x14ac:dyDescent="0.25">
      <c r="A53" s="23"/>
      <c r="B53" s="8" t="s">
        <v>8</v>
      </c>
      <c r="C53" s="14" t="s">
        <v>9</v>
      </c>
      <c r="D53" s="15">
        <f>GETPIVOTDATA("Order Amount (Exclusive)",'[1]PIVOT 12MTHS'!$A$4,"Supplier Name","Camm Building Group Pty Ltd","Contract #s (manually updated)","500.2024.0043")</f>
        <v>298725</v>
      </c>
    </row>
    <row r="54" spans="1:4" ht="15.75" thickBot="1" x14ac:dyDescent="0.3">
      <c r="A54" s="11"/>
      <c r="B54" s="18"/>
      <c r="C54" s="12"/>
      <c r="D54" s="13"/>
    </row>
    <row r="55" spans="1:4" x14ac:dyDescent="0.25">
      <c r="A55" s="7" t="s">
        <v>45</v>
      </c>
      <c r="B55" s="8" t="s">
        <v>5</v>
      </c>
      <c r="C55" s="8" t="s">
        <v>6</v>
      </c>
      <c r="D55" s="15">
        <f>GETPIVOTDATA("Order Amount (Exclusive)",'[1]PIVOT 12MTHS'!$A$4,"Supplier Name","Civica Pty Ltd","Contract #s (manually updated)","LB308")</f>
        <v>327305.38</v>
      </c>
    </row>
    <row r="56" spans="1:4" ht="15.75" thickBot="1" x14ac:dyDescent="0.3">
      <c r="A56" s="16"/>
      <c r="B56" s="12"/>
      <c r="C56" s="12"/>
      <c r="D56" s="13"/>
    </row>
    <row r="57" spans="1:4" x14ac:dyDescent="0.25">
      <c r="A57" s="7" t="s">
        <v>46</v>
      </c>
      <c r="B57" s="8" t="s">
        <v>25</v>
      </c>
      <c r="C57" s="8" t="s">
        <v>47</v>
      </c>
      <c r="D57" s="15">
        <f>GETPIVOTDATA("Order Amount (Exclusive)",'[1]PIVOT 12MTHS'!$A$4,"Supplier Name","Cleveland Bay Chemical Company","Contract #s (manually updated)",)</f>
        <v>333154.10000000003</v>
      </c>
    </row>
    <row r="58" spans="1:4" ht="15.75" thickBot="1" x14ac:dyDescent="0.3">
      <c r="A58" s="16"/>
      <c r="B58" s="12"/>
      <c r="C58" s="12"/>
      <c r="D58" s="13"/>
    </row>
    <row r="59" spans="1:4" x14ac:dyDescent="0.25">
      <c r="A59" s="21" t="s">
        <v>48</v>
      </c>
      <c r="B59" s="22" t="s">
        <v>49</v>
      </c>
      <c r="C59" s="14" t="s">
        <v>9</v>
      </c>
      <c r="D59" s="15">
        <f>'[1]PIVOT 12MTHS'!D68</f>
        <v>577069</v>
      </c>
    </row>
    <row r="60" spans="1:4" ht="15.75" thickBot="1" x14ac:dyDescent="0.3">
      <c r="A60" s="28"/>
      <c r="B60" s="18"/>
      <c r="C60" s="12"/>
      <c r="D60" s="13"/>
    </row>
    <row r="61" spans="1:4" x14ac:dyDescent="0.25">
      <c r="A61" s="29" t="s">
        <v>50</v>
      </c>
      <c r="B61" s="8" t="s">
        <v>51</v>
      </c>
      <c r="C61" s="8" t="s">
        <v>52</v>
      </c>
      <c r="D61" s="15">
        <f>GETPIVOTDATA("Order Amount (Exclusive)",'[1]PIVOT 12MTHS'!$A$4,"Supplier Name","Concept Environmental Services Pty Ltd T/A Concept Tanks","Contract #s (manually updated)","500.2025.0049")</f>
        <v>1282580</v>
      </c>
    </row>
    <row r="62" spans="1:4" ht="15.75" thickBot="1" x14ac:dyDescent="0.3">
      <c r="A62" s="30"/>
      <c r="B62" s="18"/>
      <c r="C62" s="12"/>
      <c r="D62" s="13"/>
    </row>
    <row r="63" spans="1:4" x14ac:dyDescent="0.25">
      <c r="A63" s="19" t="s">
        <v>53</v>
      </c>
      <c r="B63" s="8" t="s">
        <v>25</v>
      </c>
      <c r="C63" s="22" t="s">
        <v>47</v>
      </c>
      <c r="D63" s="15">
        <f>GETPIVOTDATA("Order Amount (Exclusive)",'[1]PIVOT 12MTHS'!$A$4,"Supplier Name","Coogee QCA Pty Ltd","Contract #s (manually updated)",)</f>
        <v>562275</v>
      </c>
    </row>
    <row r="64" spans="1:4" ht="15.75" thickBot="1" x14ac:dyDescent="0.3">
      <c r="A64" s="20"/>
      <c r="B64" s="12"/>
      <c r="C64" s="31"/>
      <c r="D64" s="13"/>
    </row>
    <row r="65" spans="1:4" x14ac:dyDescent="0.25">
      <c r="A65" s="7" t="s">
        <v>54</v>
      </c>
      <c r="B65" s="9" t="s">
        <v>55</v>
      </c>
      <c r="C65" s="26" t="s">
        <v>56</v>
      </c>
      <c r="D65" s="10">
        <f>GETPIVOTDATA("Order Amount (Exclusive)",'[1]PIVOT 12MTHS'!$A$4,"Supplier Name","Copp &amp; Co Plant Hire","Contract #s (manually updated)","500.2023.0088")</f>
        <v>1604862.24</v>
      </c>
    </row>
    <row r="66" spans="1:4" ht="15.75" thickBot="1" x14ac:dyDescent="0.3">
      <c r="A66" s="23"/>
      <c r="B66" s="18"/>
      <c r="C66" s="27"/>
      <c r="D66" s="13"/>
    </row>
    <row r="67" spans="1:4" x14ac:dyDescent="0.25">
      <c r="A67" s="23"/>
      <c r="B67" s="8" t="s">
        <v>57</v>
      </c>
      <c r="C67" s="22" t="s">
        <v>58</v>
      </c>
      <c r="D67" s="15">
        <f>GETPIVOTDATA("Order Amount (Exclusive)",'[1]PIVOT 12MTHS'!$A$4,"Supplier Name","Copp &amp; Co Plant Hire","Contract #s (manually updated)","500.2025.0054")</f>
        <v>797155.96</v>
      </c>
    </row>
    <row r="68" spans="1:4" ht="15.75" thickBot="1" x14ac:dyDescent="0.3">
      <c r="A68" s="11"/>
      <c r="B68" s="18"/>
      <c r="C68" s="27"/>
      <c r="D68" s="13"/>
    </row>
    <row r="69" spans="1:4" x14ac:dyDescent="0.25">
      <c r="A69" s="7" t="s">
        <v>59</v>
      </c>
      <c r="B69" s="8" t="s">
        <v>60</v>
      </c>
      <c r="C69" s="22" t="s">
        <v>61</v>
      </c>
      <c r="D69" s="15">
        <f>GETPIVOTDATA("Order Amount (Exclusive)",'[1]PIVOT 12MTHS'!$A$4,"Supplier Name","CyberCX Pty Ltd","Contract #s (manually updated)","500.2023.0037")</f>
        <v>277862.88</v>
      </c>
    </row>
    <row r="70" spans="1:4" ht="15.75" thickBot="1" x14ac:dyDescent="0.3">
      <c r="A70" s="11"/>
      <c r="B70" s="18"/>
      <c r="C70" s="27"/>
      <c r="D70" s="13"/>
    </row>
    <row r="71" spans="1:4" x14ac:dyDescent="0.25">
      <c r="A71" s="7" t="s">
        <v>62</v>
      </c>
      <c r="B71" s="8" t="s">
        <v>25</v>
      </c>
      <c r="C71" s="22" t="s">
        <v>63</v>
      </c>
      <c r="D71" s="15">
        <f>GETPIVOTDATA("Order Amount (Exclusive)",'[1]PIVOT 12MTHS'!$A$4,"Supplier Name","Data # 3","Contract #s (manually updated)",)</f>
        <v>549402.79</v>
      </c>
    </row>
    <row r="72" spans="1:4" x14ac:dyDescent="0.25">
      <c r="A72" s="23"/>
      <c r="B72" s="9"/>
      <c r="C72" s="32"/>
      <c r="D72" s="10"/>
    </row>
    <row r="73" spans="1:4" x14ac:dyDescent="0.25">
      <c r="A73" s="23"/>
      <c r="B73" s="33" t="s">
        <v>5</v>
      </c>
      <c r="C73" s="9" t="s">
        <v>6</v>
      </c>
      <c r="D73" s="34">
        <f>GETPIVOTDATA("Order Amount (Exclusive)",'[1]PIVOT 12MTHS'!$A$4,"Supplier Name","Data # 3","Contract #s (manually updated)","LB308")</f>
        <v>338352.26</v>
      </c>
    </row>
    <row r="74" spans="1:4" ht="15.75" thickBot="1" x14ac:dyDescent="0.3">
      <c r="A74" s="11"/>
      <c r="B74" s="27"/>
      <c r="C74" s="12"/>
      <c r="D74" s="13"/>
    </row>
    <row r="75" spans="1:4" x14ac:dyDescent="0.25">
      <c r="A75" s="7" t="s">
        <v>64</v>
      </c>
      <c r="B75" s="22" t="s">
        <v>65</v>
      </c>
      <c r="C75" s="8" t="s">
        <v>66</v>
      </c>
      <c r="D75" s="15">
        <f>GETPIVOTDATA("Order Amount (Exclusive)",'[1]PIVOT 12MTHS'!$A$4,"Supplier Name","Department of Natural Resources &amp; Mines-BPAY","Contract #s (manually updated)","235 (f)")</f>
        <v>251645.03</v>
      </c>
    </row>
    <row r="76" spans="1:4" ht="15.75" thickBot="1" x14ac:dyDescent="0.3">
      <c r="A76" s="11"/>
      <c r="B76" s="27"/>
      <c r="C76" s="18"/>
      <c r="D76" s="13"/>
    </row>
    <row r="77" spans="1:4" x14ac:dyDescent="0.25">
      <c r="A77" s="7" t="s">
        <v>67</v>
      </c>
      <c r="B77" s="22" t="s">
        <v>68</v>
      </c>
      <c r="C77" s="8" t="s">
        <v>69</v>
      </c>
      <c r="D77" s="15">
        <f>GETPIVOTDATA("Order Amount (Exclusive)",'[1]PIVOT 12MTHS'!$A$4,"Supplier Name","Don River Improvement Trust","Contract #s (manually updated)",)</f>
        <v>209738.16</v>
      </c>
    </row>
    <row r="78" spans="1:4" ht="15.75" thickBot="1" x14ac:dyDescent="0.3">
      <c r="A78" s="11"/>
      <c r="B78" s="27"/>
      <c r="C78" s="18"/>
      <c r="D78" s="13"/>
    </row>
    <row r="79" spans="1:4" x14ac:dyDescent="0.25">
      <c r="A79" s="29" t="s">
        <v>70</v>
      </c>
      <c r="B79" s="9" t="s">
        <v>71</v>
      </c>
      <c r="C79" s="35" t="s">
        <v>72</v>
      </c>
      <c r="D79" s="34">
        <f>GETPIVOTDATA("Order Amount (Exclusive)",'[1]PIVOT 12MTHS'!$A$4,"Supplier Name","Dowdens Pumping &amp; Water Treatment","Contract #s (manually updated)","500.2025.0001")</f>
        <v>580372.6</v>
      </c>
    </row>
    <row r="80" spans="1:4" ht="15.75" thickBot="1" x14ac:dyDescent="0.3">
      <c r="A80" s="36"/>
      <c r="B80" s="18"/>
      <c r="C80" s="37"/>
      <c r="D80" s="38"/>
    </row>
    <row r="81" spans="1:4" x14ac:dyDescent="0.25">
      <c r="A81" s="36"/>
      <c r="B81" s="8" t="s">
        <v>25</v>
      </c>
      <c r="C81" s="39" t="s">
        <v>73</v>
      </c>
      <c r="D81" s="40">
        <f>GETPIVOTDATA("Order Amount (Exclusive)",'[1]PIVOT 12MTHS'!$A$4,"Supplier Name","Dowdens Pumping &amp; Water Treatment","Contract #s (manually updated)",)</f>
        <v>221540.27000000002</v>
      </c>
    </row>
    <row r="82" spans="1:4" ht="15.75" thickBot="1" x14ac:dyDescent="0.3">
      <c r="A82" s="30"/>
      <c r="B82" s="18"/>
      <c r="C82" s="18"/>
      <c r="D82" s="38"/>
    </row>
    <row r="83" spans="1:4" x14ac:dyDescent="0.25">
      <c r="A83" s="29" t="s">
        <v>74</v>
      </c>
      <c r="B83" s="22" t="s">
        <v>8</v>
      </c>
      <c r="C83" s="14" t="s">
        <v>9</v>
      </c>
      <c r="D83" s="40">
        <f>GETPIVOTDATA("Order Amount (Exclusive)",'[1]PIVOT 12MTHS'!$A$4,"Supplier Name","Doyawana Truck Hire","Contract #s (manually updated)","500.2024.0043")</f>
        <v>228121.40000000002</v>
      </c>
    </row>
    <row r="84" spans="1:4" ht="15.75" thickBot="1" x14ac:dyDescent="0.3">
      <c r="A84" s="30"/>
      <c r="B84" s="18"/>
      <c r="C84" s="12"/>
      <c r="D84" s="13"/>
    </row>
    <row r="85" spans="1:4" x14ac:dyDescent="0.25">
      <c r="A85" s="29" t="s">
        <v>75</v>
      </c>
      <c r="B85" s="8" t="s">
        <v>76</v>
      </c>
      <c r="C85" s="8" t="s">
        <v>77</v>
      </c>
      <c r="D85" s="10">
        <f>GETPIVOTDATA("Order Amount (Exclusive)",'[1]PIVOT 12MTHS'!$A$4,"Supplier Name","Ebstar Pty Ltd T/A Milne Bros Equipment","Contract #s (manually updated)","500.2025.0062")</f>
        <v>218903</v>
      </c>
    </row>
    <row r="86" spans="1:4" ht="15.75" thickBot="1" x14ac:dyDescent="0.3">
      <c r="A86" s="30"/>
      <c r="B86" s="18"/>
      <c r="C86" s="12"/>
      <c r="D86" s="13"/>
    </row>
    <row r="87" spans="1:4" x14ac:dyDescent="0.25">
      <c r="A87" s="29" t="s">
        <v>78</v>
      </c>
      <c r="B87" s="8" t="s">
        <v>79</v>
      </c>
      <c r="C87" s="22" t="s">
        <v>80</v>
      </c>
      <c r="D87" s="15">
        <f>GETPIVOTDATA("Order Amount (Exclusive)",'[1]PIVOT 12MTHS'!$A$4,"Supplier Name","EMG Facility Services Pty Ltd T/A Austral Facility Services","Contract #s (manually updated)","500.2022.0066")</f>
        <v>328050.62</v>
      </c>
    </row>
    <row r="88" spans="1:4" ht="15.75" thickBot="1" x14ac:dyDescent="0.3">
      <c r="A88" s="30"/>
      <c r="B88" s="18"/>
      <c r="C88" s="27"/>
      <c r="D88" s="13"/>
    </row>
    <row r="89" spans="1:4" x14ac:dyDescent="0.25">
      <c r="A89" s="41" t="s">
        <v>81</v>
      </c>
      <c r="B89" s="14" t="s">
        <v>65</v>
      </c>
      <c r="C89" s="22" t="s">
        <v>82</v>
      </c>
      <c r="D89" s="15">
        <f>GETPIVOTDATA("Order Amount (Exclusive)",'[1]PIVOT 12MTHS'!$A$4,"Supplier Name","Ergon Energy Queensland Pty Ltd","Contract #s (manually updated)","235 (f)")</f>
        <v>471600</v>
      </c>
    </row>
    <row r="90" spans="1:4" ht="15.75" thickBot="1" x14ac:dyDescent="0.3">
      <c r="A90" s="42"/>
      <c r="B90" s="12"/>
      <c r="C90" s="31"/>
      <c r="D90" s="13"/>
    </row>
    <row r="91" spans="1:4" ht="25.5" customHeight="1" x14ac:dyDescent="0.25">
      <c r="A91" s="43" t="s">
        <v>83</v>
      </c>
      <c r="B91" s="14" t="s">
        <v>79</v>
      </c>
      <c r="C91" s="44" t="s">
        <v>80</v>
      </c>
      <c r="D91" s="15">
        <f>GETPIVOTDATA("Order Amount (Exclusive)",'[1]PIVOT 12MTHS'!$A$4,"Supplier Name","Etwell Commercial Cleaners","Contract #s (manually updated)","500.2022.0066")</f>
        <v>230071.27000000002</v>
      </c>
    </row>
    <row r="92" spans="1:4" ht="15.75" thickBot="1" x14ac:dyDescent="0.3">
      <c r="A92" s="16"/>
      <c r="B92" s="12"/>
      <c r="C92" s="31"/>
      <c r="D92" s="13"/>
    </row>
    <row r="93" spans="1:4" x14ac:dyDescent="0.25">
      <c r="A93" s="7" t="s">
        <v>84</v>
      </c>
      <c r="B93" s="8" t="s">
        <v>25</v>
      </c>
      <c r="C93" s="22" t="s">
        <v>85</v>
      </c>
      <c r="D93" s="15">
        <f>GETPIVOTDATA("Order Amount (Exclusive)",'[1]PIVOT 12MTHS'!$A$4,"Supplier Name","F E Technologies Pty Ltd","Contract #s (manually updated)",)</f>
        <v>206981</v>
      </c>
    </row>
    <row r="94" spans="1:4" ht="15.75" thickBot="1" x14ac:dyDescent="0.3">
      <c r="A94" s="16"/>
      <c r="B94" s="12"/>
      <c r="C94" s="31"/>
      <c r="D94" s="13"/>
    </row>
    <row r="95" spans="1:4" x14ac:dyDescent="0.25">
      <c r="A95" s="7" t="s">
        <v>86</v>
      </c>
      <c r="B95" s="8" t="s">
        <v>87</v>
      </c>
      <c r="C95" s="22" t="s">
        <v>88</v>
      </c>
      <c r="D95" s="15">
        <f>GETPIVOTDATA("Order Amount (Exclusive)",'[1]PIVOT 12MTHS'!$A$4,"Supplier Name","Fergus Builders Pty Ltd","Contract #s (manually updated)","500.2025.0024")</f>
        <v>205825.53</v>
      </c>
    </row>
    <row r="96" spans="1:4" ht="15.75" thickBot="1" x14ac:dyDescent="0.3">
      <c r="A96" s="16"/>
      <c r="B96" s="12"/>
      <c r="C96" s="31"/>
      <c r="D96" s="13"/>
    </row>
    <row r="97" spans="1:4" x14ac:dyDescent="0.25">
      <c r="A97" s="7" t="s">
        <v>89</v>
      </c>
      <c r="B97" s="8" t="s">
        <v>90</v>
      </c>
      <c r="C97" s="22" t="s">
        <v>91</v>
      </c>
      <c r="D97" s="15">
        <f>GETPIVOTDATA("Order Amount (Exclusive)",'[1]PIVOT 12MTHS'!$A$4,"Supplier Name","Fleetwood VIC &amp; QLD Pty Ltd","Contract #s (manually updated)",)</f>
        <v>326345.07</v>
      </c>
    </row>
    <row r="98" spans="1:4" ht="15.75" thickBot="1" x14ac:dyDescent="0.3">
      <c r="A98" s="16"/>
      <c r="B98" s="12"/>
      <c r="C98" s="31"/>
      <c r="D98" s="13"/>
    </row>
    <row r="99" spans="1:4" x14ac:dyDescent="0.25">
      <c r="A99" s="7" t="s">
        <v>92</v>
      </c>
      <c r="B99" s="8" t="s">
        <v>93</v>
      </c>
      <c r="C99" s="22" t="s">
        <v>94</v>
      </c>
      <c r="D99" s="15">
        <f>GETPIVOTDATA("Order Amount (Exclusive)",'[1]PIVOT 12MTHS'!$A$4,"Supplier Name","Forster Helicopters Pty Ltd T/A Helipower","Contract #s (manually updated)","500.2022.0048")</f>
        <v>306890.94</v>
      </c>
    </row>
    <row r="100" spans="1:4" ht="15.75" thickBot="1" x14ac:dyDescent="0.3">
      <c r="A100" s="16"/>
      <c r="B100" s="12"/>
      <c r="C100" s="31"/>
      <c r="D100" s="13"/>
    </row>
    <row r="101" spans="1:4" x14ac:dyDescent="0.25">
      <c r="A101" s="7" t="s">
        <v>95</v>
      </c>
      <c r="B101" s="8" t="s">
        <v>96</v>
      </c>
      <c r="C101" s="22" t="s">
        <v>97</v>
      </c>
      <c r="D101" s="15">
        <f>GETPIVOTDATA("Order Amount (Exclusive)",'[1]PIVOT 12MTHS'!$A$4,"Supplier Name","Fulton Hogan Industries Pty Ltd","Contract #s (manually updated)","500.2025.0077")</f>
        <v>344636.46</v>
      </c>
    </row>
    <row r="102" spans="1:4" ht="15.75" thickBot="1" x14ac:dyDescent="0.3">
      <c r="A102" s="16"/>
      <c r="B102" s="12"/>
      <c r="C102" s="31"/>
      <c r="D102" s="13"/>
    </row>
    <row r="103" spans="1:4" x14ac:dyDescent="0.25">
      <c r="A103" s="7" t="s">
        <v>98</v>
      </c>
      <c r="B103" s="8" t="s">
        <v>99</v>
      </c>
      <c r="C103" s="22" t="s">
        <v>100</v>
      </c>
      <c r="D103" s="15">
        <f>GETPIVOTDATA("Order Amount (Exclusive)",'[1]PIVOT 12MTHS'!$A$4,"Supplier Name","Global Water Technologies Pty Ltd","Contract #s (manually updated)","500.2025.0004")</f>
        <v>1061585.1000000001</v>
      </c>
    </row>
    <row r="104" spans="1:4" ht="15.75" thickBot="1" x14ac:dyDescent="0.3">
      <c r="A104" s="11"/>
      <c r="B104" s="18"/>
      <c r="C104" s="27"/>
      <c r="D104" s="13"/>
    </row>
    <row r="105" spans="1:4" x14ac:dyDescent="0.25">
      <c r="A105" s="7" t="s">
        <v>101</v>
      </c>
      <c r="B105" s="8" t="s">
        <v>102</v>
      </c>
      <c r="C105" s="8" t="s">
        <v>103</v>
      </c>
      <c r="D105" s="15">
        <f>GETPIVOTDATA("Order Amount (Exclusive)",'[1]PIVOT 12MTHS'!$A$4,"Supplier Name","Grid Electrics Group Pty Ltd","Contract #s (manually updated)","500.2025.0008")</f>
        <v>576358.15</v>
      </c>
    </row>
    <row r="106" spans="1:4" ht="15.75" thickBot="1" x14ac:dyDescent="0.3">
      <c r="A106" s="11"/>
      <c r="B106" s="18"/>
      <c r="C106" s="18"/>
      <c r="D106" s="13"/>
    </row>
    <row r="107" spans="1:4" x14ac:dyDescent="0.25">
      <c r="A107" s="7" t="s">
        <v>104</v>
      </c>
      <c r="B107" s="8" t="s">
        <v>105</v>
      </c>
      <c r="C107" s="8" t="s">
        <v>106</v>
      </c>
      <c r="D107" s="15">
        <f>GETPIVOTDATA("Order Amount (Exclusive)",'[1]PIVOT 12MTHS'!$A$4,"Supplier Name","Grimsey's Aquatics Pty Ltd","Contract #s (manually updated)","500.2023.0059")</f>
        <v>396000</v>
      </c>
    </row>
    <row r="108" spans="1:4" ht="15.75" thickBot="1" x14ac:dyDescent="0.3">
      <c r="A108" s="11"/>
      <c r="B108" s="18"/>
      <c r="C108" s="18"/>
      <c r="D108" s="13"/>
    </row>
    <row r="109" spans="1:4" x14ac:dyDescent="0.25">
      <c r="A109" s="7" t="s">
        <v>107</v>
      </c>
      <c r="B109" s="8" t="s">
        <v>25</v>
      </c>
      <c r="C109" s="8" t="s">
        <v>47</v>
      </c>
      <c r="D109" s="15">
        <f>GETPIVOTDATA("Order Amount (Exclusive)",'[1]PIVOT 12MTHS'!$A$4,"Supplier Name","Hach Pacific Pty Ltd","Contract #s (manually updated)",)</f>
        <v>206006.19000000003</v>
      </c>
    </row>
    <row r="110" spans="1:4" ht="15.75" thickBot="1" x14ac:dyDescent="0.3">
      <c r="A110" s="11"/>
      <c r="B110" s="18"/>
      <c r="C110" s="18"/>
      <c r="D110" s="13"/>
    </row>
    <row r="111" spans="1:4" x14ac:dyDescent="0.25">
      <c r="A111" s="25" t="s">
        <v>108</v>
      </c>
      <c r="B111" s="22" t="s">
        <v>109</v>
      </c>
      <c r="C111" s="14" t="s">
        <v>110</v>
      </c>
      <c r="D111" s="15">
        <f>'[1]PIVOT 12MTHS'!D147</f>
        <v>724967.01</v>
      </c>
    </row>
    <row r="112" spans="1:4" ht="15.75" thickBot="1" x14ac:dyDescent="0.3">
      <c r="A112" s="16"/>
      <c r="B112" s="17"/>
      <c r="C112" s="17"/>
      <c r="D112" s="10"/>
    </row>
    <row r="113" spans="1:4" x14ac:dyDescent="0.25">
      <c r="A113" s="7" t="s">
        <v>111</v>
      </c>
      <c r="B113" s="8" t="s">
        <v>112</v>
      </c>
      <c r="C113" s="8" t="s">
        <v>113</v>
      </c>
      <c r="D113" s="15">
        <f>GETPIVOTDATA("Order Amount (Exclusive)",'[1]PIVOT 12MTHS'!$A$4,"Supplier Name","Infront Security Pty Ltd","Contract #s (manually updated)","500.2022.0080")</f>
        <v>1100754.4100000001</v>
      </c>
    </row>
    <row r="114" spans="1:4" ht="15.75" thickBot="1" x14ac:dyDescent="0.3">
      <c r="A114" s="16"/>
      <c r="B114" s="18"/>
      <c r="C114" s="18"/>
      <c r="D114" s="13"/>
    </row>
    <row r="115" spans="1:4" x14ac:dyDescent="0.25">
      <c r="A115" s="7" t="s">
        <v>114</v>
      </c>
      <c r="B115" s="9" t="s">
        <v>25</v>
      </c>
      <c r="C115" s="9" t="s">
        <v>115</v>
      </c>
      <c r="D115" s="15">
        <f>GETPIVOTDATA("Order Amount (Exclusive)",'[1]PIVOT 12MTHS'!$A$4,"Supplier Name","JJ Richards &amp; Sons Pty Ltd","Contract #s (manually updated)",)</f>
        <v>285729.8</v>
      </c>
    </row>
    <row r="116" spans="1:4" x14ac:dyDescent="0.25">
      <c r="A116" s="23"/>
      <c r="B116" s="9"/>
      <c r="C116" s="9"/>
      <c r="D116" s="10"/>
    </row>
    <row r="117" spans="1:4" x14ac:dyDescent="0.25">
      <c r="A117" s="23"/>
      <c r="B117" s="9" t="s">
        <v>116</v>
      </c>
      <c r="C117" s="9" t="s">
        <v>117</v>
      </c>
      <c r="D117" s="45">
        <f>GETPIVOTDATA("Order Amount (Exclusive)",'[1]PIVOT 12MTHS'!$A$4,"Supplier Name","JJ Richards &amp; Sons Pty Ltd","Contract #s (manually updated)","500.2023.0033")</f>
        <v>5604081.7700000005</v>
      </c>
    </row>
    <row r="118" spans="1:4" x14ac:dyDescent="0.25">
      <c r="A118" s="23"/>
      <c r="B118" s="17"/>
      <c r="C118" s="17"/>
      <c r="D118" s="45"/>
    </row>
    <row r="119" spans="1:4" x14ac:dyDescent="0.25">
      <c r="A119" s="23"/>
      <c r="B119" s="9" t="s">
        <v>118</v>
      </c>
      <c r="C119" s="9" t="s">
        <v>119</v>
      </c>
      <c r="D119" s="45">
        <f>GETPIVOTDATA("Order Amount (Exclusive)",'[1]PIVOT 12MTHS'!$A$4,"Supplier Name","JJ Richards &amp; Sons Pty Ltd","Contract #s (manually updated)","500.2021.0009")</f>
        <v>478853.79999999993</v>
      </c>
    </row>
    <row r="120" spans="1:4" x14ac:dyDescent="0.25">
      <c r="A120" s="23"/>
      <c r="B120" s="9"/>
      <c r="C120" s="9"/>
      <c r="D120" s="45"/>
    </row>
    <row r="121" spans="1:4" x14ac:dyDescent="0.25">
      <c r="A121" s="23"/>
      <c r="B121" s="9" t="s">
        <v>120</v>
      </c>
      <c r="C121" s="9" t="s">
        <v>121</v>
      </c>
      <c r="D121" s="45">
        <f>GETPIVOTDATA("Order Amount (Exclusive)",'[1]PIVOT 12MTHS'!$A$4,"Supplier Name","JJ Richards &amp; Sons Pty Ltd","Contract #s (manually updated)","500.2022.0075")</f>
        <v>236690.04</v>
      </c>
    </row>
    <row r="122" spans="1:4" ht="15.75" thickBot="1" x14ac:dyDescent="0.3">
      <c r="A122" s="11"/>
      <c r="B122" s="18"/>
      <c r="C122" s="18"/>
      <c r="D122" s="46"/>
    </row>
    <row r="123" spans="1:4" x14ac:dyDescent="0.25">
      <c r="A123" s="7" t="s">
        <v>122</v>
      </c>
      <c r="B123" s="8" t="s">
        <v>31</v>
      </c>
      <c r="C123" s="8" t="s">
        <v>32</v>
      </c>
      <c r="D123" s="47">
        <f>GETPIVOTDATA("Order Amount (Exclusive)",'[1]PIVOT 12MTHS'!$A$4,"Supplier Name","John's Plumbing Service","Contract #s (manually updated)","500.2023.0019")</f>
        <v>227746.25000000003</v>
      </c>
    </row>
    <row r="124" spans="1:4" ht="15.75" thickBot="1" x14ac:dyDescent="0.3">
      <c r="A124" s="11"/>
      <c r="B124" s="18"/>
      <c r="C124" s="9"/>
      <c r="D124" s="46"/>
    </row>
    <row r="125" spans="1:4" x14ac:dyDescent="0.25">
      <c r="A125" s="29" t="s">
        <v>123</v>
      </c>
      <c r="B125" s="9" t="s">
        <v>124</v>
      </c>
      <c r="C125" s="8" t="s">
        <v>125</v>
      </c>
      <c r="D125" s="47">
        <f>GETPIVOTDATA("Order Amount (Exclusive)",'[1]PIVOT 12MTHS'!$A$4,"Supplier Name","LD &amp; LJ Hillery Pty Limited","Contract #s (manually updated)","LB341")</f>
        <v>313228.25</v>
      </c>
    </row>
    <row r="126" spans="1:4" x14ac:dyDescent="0.25">
      <c r="A126" s="36"/>
      <c r="B126" s="9"/>
      <c r="C126" s="9"/>
      <c r="D126" s="45"/>
    </row>
    <row r="127" spans="1:4" x14ac:dyDescent="0.25">
      <c r="A127" s="36"/>
      <c r="B127" s="9" t="s">
        <v>126</v>
      </c>
      <c r="C127" s="9" t="s">
        <v>127</v>
      </c>
      <c r="D127" s="45">
        <f>GETPIVOTDATA("Order Amount (Exclusive)",'[1]PIVOT 12MTHS'!$A$4,"Supplier Name","LD &amp; LJ Hillery Pty Limited","Contract #s (manually updated)","500.2026.0005")</f>
        <v>2414139.56</v>
      </c>
    </row>
    <row r="128" spans="1:4" x14ac:dyDescent="0.25">
      <c r="A128" s="36"/>
      <c r="B128" s="9"/>
      <c r="C128" s="9"/>
      <c r="D128" s="45"/>
    </row>
    <row r="129" spans="1:4" x14ac:dyDescent="0.25">
      <c r="A129" s="36"/>
      <c r="B129" s="9" t="s">
        <v>25</v>
      </c>
      <c r="C129" s="9" t="s">
        <v>128</v>
      </c>
      <c r="D129" s="45">
        <f>GETPIVOTDATA("Order Amount (Exclusive)",'[1]PIVOT 12MTHS'!$A$4,"Supplier Name","LD &amp; LJ Hillery Pty Limited","Contract #s (manually updated)",)</f>
        <v>335915.94</v>
      </c>
    </row>
    <row r="130" spans="1:4" x14ac:dyDescent="0.25">
      <c r="A130" s="36"/>
      <c r="B130" s="9"/>
      <c r="C130" s="9"/>
      <c r="D130" s="45"/>
    </row>
    <row r="131" spans="1:4" x14ac:dyDescent="0.25">
      <c r="A131" s="36"/>
      <c r="B131" s="9" t="s">
        <v>129</v>
      </c>
      <c r="C131" s="9" t="s">
        <v>130</v>
      </c>
      <c r="D131" s="45">
        <f>GETPIVOTDATA("Order Amount (Exclusive)",'[1]PIVOT 12MTHS'!$A$4,"Supplier Name","LD &amp; LJ Hillery Pty Limited","Contract #s (manually updated)","500.2025.0055")</f>
        <v>5171153.8100000005</v>
      </c>
    </row>
    <row r="132" spans="1:4" x14ac:dyDescent="0.25">
      <c r="A132" s="36"/>
      <c r="B132" s="9"/>
      <c r="C132" s="9"/>
      <c r="D132" s="45"/>
    </row>
    <row r="133" spans="1:4" x14ac:dyDescent="0.25">
      <c r="A133" s="36"/>
      <c r="B133" s="9" t="s">
        <v>131</v>
      </c>
      <c r="C133" s="9" t="s">
        <v>132</v>
      </c>
      <c r="D133" s="45">
        <f>GETPIVOTDATA("Order Amount (Exclusive)",'[1]PIVOT 12MTHS'!$A$4,"Supplier Name","LD &amp; LJ Hillery Pty Limited","Contract #s (manually updated)","500.2025.0040")</f>
        <v>4872924.92</v>
      </c>
    </row>
    <row r="134" spans="1:4" x14ac:dyDescent="0.25">
      <c r="A134" s="36"/>
      <c r="B134" s="9"/>
      <c r="C134" s="9"/>
      <c r="D134" s="45"/>
    </row>
    <row r="135" spans="1:4" x14ac:dyDescent="0.25">
      <c r="A135" s="36"/>
      <c r="B135" s="9" t="s">
        <v>133</v>
      </c>
      <c r="C135" s="9" t="s">
        <v>134</v>
      </c>
      <c r="D135" s="45">
        <f>GETPIVOTDATA("Order Amount (Exclusive)",'[1]PIVOT 12MTHS'!$A$4,"Supplier Name","LD &amp; LJ Hillery Pty Limited","Contract #s (manually updated)","500.2025.0046")</f>
        <v>206494.87</v>
      </c>
    </row>
    <row r="136" spans="1:4" ht="15.75" thickBot="1" x14ac:dyDescent="0.3">
      <c r="A136" s="30"/>
      <c r="B136" s="18"/>
      <c r="C136" s="18"/>
      <c r="D136" s="46"/>
    </row>
    <row r="137" spans="1:4" x14ac:dyDescent="0.25">
      <c r="A137" s="19" t="s">
        <v>135</v>
      </c>
      <c r="B137" s="8" t="s">
        <v>136</v>
      </c>
      <c r="C137" s="8" t="s">
        <v>137</v>
      </c>
      <c r="D137" s="15">
        <f>GETPIVOTDATA("Order Amount (Exclusive)",'[1]PIVOT 12MTHS'!$A$4,"Supplier Name","Leading Roles","Contract #s (manually updated)","LB297")</f>
        <v>411692.5</v>
      </c>
    </row>
    <row r="138" spans="1:4" x14ac:dyDescent="0.25">
      <c r="A138" s="48"/>
      <c r="B138" s="9"/>
      <c r="C138" s="9"/>
      <c r="D138" s="10"/>
    </row>
    <row r="139" spans="1:4" x14ac:dyDescent="0.25">
      <c r="A139" s="48"/>
      <c r="B139" s="9" t="s">
        <v>138</v>
      </c>
      <c r="C139" s="9" t="s">
        <v>139</v>
      </c>
      <c r="D139" s="10">
        <f>GETPIVOTDATA("Order Amount (Exclusive)",'[1]PIVOT 12MTHS'!$A$4,"Supplier Name","Leading Roles","Contract #s (manually updated)","LB334")</f>
        <v>393461.68</v>
      </c>
    </row>
    <row r="140" spans="1:4" ht="15.75" thickBot="1" x14ac:dyDescent="0.3">
      <c r="A140" s="20"/>
      <c r="B140" s="18"/>
      <c r="C140" s="18"/>
      <c r="D140" s="13"/>
    </row>
    <row r="141" spans="1:4" x14ac:dyDescent="0.25">
      <c r="A141" s="7" t="s">
        <v>140</v>
      </c>
      <c r="B141" s="8" t="s">
        <v>141</v>
      </c>
      <c r="C141" s="8" t="s">
        <v>142</v>
      </c>
      <c r="D141" s="15">
        <f>GETPIVOTDATA("Order Amount (Exclusive)",'[1]PIVOT 12MTHS'!$A$4,"Supplier Name","Lennys Landscaping","Contract #s (manually updated)","500.2025.0044")</f>
        <v>714670.17</v>
      </c>
    </row>
    <row r="142" spans="1:4" ht="15.75" thickBot="1" x14ac:dyDescent="0.3">
      <c r="A142" s="16"/>
      <c r="B142" s="18"/>
      <c r="C142" s="18"/>
      <c r="D142" s="13"/>
    </row>
    <row r="143" spans="1:4" x14ac:dyDescent="0.25">
      <c r="A143" s="7" t="s">
        <v>143</v>
      </c>
      <c r="B143" s="8" t="s">
        <v>31</v>
      </c>
      <c r="C143" s="8" t="s">
        <v>32</v>
      </c>
      <c r="D143" s="15">
        <f>GETPIVOTDATA("Order Amount (Exclusive)",'[1]PIVOT 12MTHS'!$A$4,"Supplier Name","Lindsay Projects Pty Ltd","Contract #s (manually updated)","500.2023.0019")</f>
        <v>207975</v>
      </c>
    </row>
    <row r="144" spans="1:4" ht="15.75" thickBot="1" x14ac:dyDescent="0.3">
      <c r="A144" s="16"/>
      <c r="B144" s="18"/>
      <c r="C144" s="18"/>
      <c r="D144" s="13"/>
    </row>
    <row r="145" spans="1:4" x14ac:dyDescent="0.25">
      <c r="A145" s="7" t="s">
        <v>144</v>
      </c>
      <c r="B145" s="8" t="s">
        <v>8</v>
      </c>
      <c r="C145" s="14" t="s">
        <v>9</v>
      </c>
      <c r="D145" s="15">
        <f>GETPIVOTDATA("Order Amount (Exclusive)",'[1]PIVOT 12MTHS'!$A$4,"Supplier Name","LMP Project Services Pty Ltd","Contract #s (manually updated)","500.2024.0043")</f>
        <v>1666225.5</v>
      </c>
    </row>
    <row r="146" spans="1:4" ht="15.75" thickBot="1" x14ac:dyDescent="0.3">
      <c r="A146" s="16"/>
      <c r="B146" s="18"/>
      <c r="C146" s="12"/>
      <c r="D146" s="13"/>
    </row>
    <row r="147" spans="1:4" x14ac:dyDescent="0.25">
      <c r="A147" s="7" t="s">
        <v>145</v>
      </c>
      <c r="B147" s="8" t="s">
        <v>146</v>
      </c>
      <c r="C147" s="8" t="s">
        <v>147</v>
      </c>
      <c r="D147" s="15">
        <f>GETPIVOTDATA("Order Amount (Exclusive)",'[1]PIVOT 12MTHS'!$A$4,"Supplier Name","Local Government Association Of Qld Inc (LGAQ)","Contract #s (manually updated)",234)</f>
        <v>203417.9</v>
      </c>
    </row>
    <row r="148" spans="1:4" ht="15.75" thickBot="1" x14ac:dyDescent="0.3">
      <c r="A148" s="16"/>
      <c r="B148" s="18"/>
      <c r="C148" s="12"/>
      <c r="D148" s="13"/>
    </row>
    <row r="149" spans="1:4" x14ac:dyDescent="0.25">
      <c r="A149" s="19" t="s">
        <v>148</v>
      </c>
      <c r="B149" s="14" t="s">
        <v>149</v>
      </c>
      <c r="C149" s="14" t="s">
        <v>150</v>
      </c>
      <c r="D149" s="15">
        <f>GETPIVOTDATA("Order Amount (Exclusive)",'[1]PIVOT 12MTHS'!$A$4,"Supplier Name","McCullough Robertson Lawyers","Contract #s (manually updated)","500.2021.0091")</f>
        <v>954022.67999999982</v>
      </c>
    </row>
    <row r="150" spans="1:4" ht="15.75" thickBot="1" x14ac:dyDescent="0.3">
      <c r="A150" s="20"/>
      <c r="B150" s="12"/>
      <c r="C150" s="12"/>
      <c r="D150" s="13"/>
    </row>
    <row r="151" spans="1:4" x14ac:dyDescent="0.25">
      <c r="A151" s="7" t="s">
        <v>151</v>
      </c>
      <c r="B151" s="8" t="s">
        <v>31</v>
      </c>
      <c r="C151" s="8" t="s">
        <v>32</v>
      </c>
      <c r="D151" s="15">
        <f>GETPIVOTDATA("Order Amount (Exclusive)",'[1]PIVOT 12MTHS'!$A$4,"Supplier Name","McDonald Smith Plumbing Pty Ltd","Contract #s (manually updated)","500.2023.0019")</f>
        <v>207494.59</v>
      </c>
    </row>
    <row r="152" spans="1:4" ht="15.75" thickBot="1" x14ac:dyDescent="0.3">
      <c r="A152" s="16"/>
      <c r="B152" s="12"/>
      <c r="C152" s="12"/>
      <c r="D152" s="13"/>
    </row>
    <row r="153" spans="1:4" x14ac:dyDescent="0.25">
      <c r="A153" s="7" t="s">
        <v>152</v>
      </c>
      <c r="B153" s="8" t="s">
        <v>153</v>
      </c>
      <c r="C153" s="8" t="s">
        <v>154</v>
      </c>
      <c r="D153" s="15">
        <f>GETPIVOTDATA("Order Amount (Exclusive)",'[1]PIVOT 12MTHS'!$A$4,"Supplier Name","Minecorp Fencing","Contract #s (manually updated)","500.2024.0075")</f>
        <v>487901.45</v>
      </c>
    </row>
    <row r="154" spans="1:4" ht="15.75" thickBot="1" x14ac:dyDescent="0.3">
      <c r="A154" s="16"/>
      <c r="B154" s="12"/>
      <c r="C154" s="12"/>
      <c r="D154" s="13"/>
    </row>
    <row r="155" spans="1:4" x14ac:dyDescent="0.25">
      <c r="A155" s="49" t="s">
        <v>155</v>
      </c>
      <c r="B155" s="22" t="s">
        <v>8</v>
      </c>
      <c r="C155" s="14" t="s">
        <v>9</v>
      </c>
      <c r="D155" s="47">
        <f>GETPIVOTDATA("Order Amount (Exclusive)",'[1]PIVOT 12MTHS'!$A$4,"Supplier Name","Mirthill Pty Ltd","Contract #s (manually updated)","500.2024.0043")</f>
        <v>878065.89</v>
      </c>
    </row>
    <row r="156" spans="1:4" ht="15.75" thickBot="1" x14ac:dyDescent="0.3">
      <c r="A156" s="50"/>
      <c r="B156" s="17"/>
      <c r="C156" s="17"/>
      <c r="D156" s="45"/>
    </row>
    <row r="157" spans="1:4" x14ac:dyDescent="0.25">
      <c r="A157" s="51" t="s">
        <v>156</v>
      </c>
      <c r="B157" s="22" t="s">
        <v>8</v>
      </c>
      <c r="C157" s="14" t="s">
        <v>157</v>
      </c>
      <c r="D157" s="15">
        <f>GETPIVOTDATA("Order Amount (Exclusive)",'[1]PIVOT 12MTHS'!$A$4,"Supplier Name","Moulding Excavations","Contract #s (manually updated)","500.2024.0043")</f>
        <v>616701.5</v>
      </c>
    </row>
    <row r="158" spans="1:4" ht="15.75" thickBot="1" x14ac:dyDescent="0.3">
      <c r="A158" s="42"/>
      <c r="B158" s="12"/>
      <c r="C158" s="12"/>
      <c r="D158" s="13"/>
    </row>
    <row r="159" spans="1:4" x14ac:dyDescent="0.25">
      <c r="A159" s="29" t="s">
        <v>158</v>
      </c>
      <c r="B159" s="8" t="s">
        <v>159</v>
      </c>
      <c r="C159" s="22" t="s">
        <v>160</v>
      </c>
      <c r="D159" s="15">
        <f>GETPIVOTDATA("Order Amount (Exclusive)",'[1]PIVOT 12MTHS'!$A$4,"Supplier Name","Mr Mark Huston T/A Lake Proserpine Glamping","Contract #s (manually updated)","500.2023.0075")</f>
        <v>210000</v>
      </c>
    </row>
    <row r="160" spans="1:4" ht="15.75" thickBot="1" x14ac:dyDescent="0.3">
      <c r="A160" s="52"/>
      <c r="B160" s="18"/>
      <c r="C160" s="27"/>
      <c r="D160" s="13"/>
    </row>
    <row r="161" spans="1:4" x14ac:dyDescent="0.25">
      <c r="A161" s="29" t="s">
        <v>161</v>
      </c>
      <c r="B161" s="8" t="s">
        <v>11</v>
      </c>
      <c r="C161" s="9" t="s">
        <v>12</v>
      </c>
      <c r="D161" s="15">
        <f>GETPIVOTDATA("Order Amount (Exclusive)",'[1]PIVOT 12MTHS'!$A$4,"Supplier Name","Paradise Engineering","Contract #s (manually updated)","LB312")</f>
        <v>263655.81</v>
      </c>
    </row>
    <row r="162" spans="1:4" ht="15.75" thickBot="1" x14ac:dyDescent="0.3">
      <c r="A162" s="52"/>
      <c r="B162" s="18"/>
      <c r="C162" s="18"/>
      <c r="D162" s="13"/>
    </row>
    <row r="163" spans="1:4" x14ac:dyDescent="0.25">
      <c r="A163" s="7" t="s">
        <v>162</v>
      </c>
      <c r="B163" s="8" t="s">
        <v>163</v>
      </c>
      <c r="C163" s="8" t="s">
        <v>164</v>
      </c>
      <c r="D163" s="10">
        <f>GETPIVOTDATA("Order Amount (Exclusive)",'[1]PIVOT 12MTHS'!$A$4,"Supplier Name","Peak Services","Contract #s (manually updated)","LB328")</f>
        <v>230076</v>
      </c>
    </row>
    <row r="164" spans="1:4" ht="15.75" thickBot="1" x14ac:dyDescent="0.3">
      <c r="A164" s="16"/>
      <c r="B164" s="18"/>
      <c r="C164" s="18"/>
      <c r="D164" s="13"/>
    </row>
    <row r="165" spans="1:4" x14ac:dyDescent="0.25">
      <c r="A165" s="7" t="s">
        <v>165</v>
      </c>
      <c r="B165" s="8" t="s">
        <v>18</v>
      </c>
      <c r="C165" s="8" t="s">
        <v>19</v>
      </c>
      <c r="D165" s="15">
        <f>GETPIVOTDATA("Order Amount (Exclusive)",'[1]PIVOT 12MTHS'!$A$4,"Supplier Name","Phronis Pty Ltd","Contract #s (manually updated)","500.2025.0009")</f>
        <v>1662075.81</v>
      </c>
    </row>
    <row r="166" spans="1:4" ht="15.75" thickBot="1" x14ac:dyDescent="0.3">
      <c r="A166" s="11"/>
      <c r="B166" s="37"/>
      <c r="C166" s="37"/>
      <c r="D166" s="10"/>
    </row>
    <row r="167" spans="1:4" x14ac:dyDescent="0.25">
      <c r="A167" s="25" t="s">
        <v>166</v>
      </c>
      <c r="B167" s="9" t="s">
        <v>25</v>
      </c>
      <c r="C167" s="8" t="s">
        <v>167</v>
      </c>
      <c r="D167" s="15">
        <f>GETPIVOTDATA("Order Amount (Exclusive)",'[1]PIVOT 12MTHS'!$A$4,"Supplier Name","Pilchers Pre-Mix Concrete","Contract #s (manually updated)",)</f>
        <v>249930.7</v>
      </c>
    </row>
    <row r="168" spans="1:4" ht="15.75" thickBot="1" x14ac:dyDescent="0.3">
      <c r="A168" s="43"/>
      <c r="B168" s="18"/>
      <c r="C168" s="17"/>
      <c r="D168" s="10"/>
    </row>
    <row r="169" spans="1:4" x14ac:dyDescent="0.25">
      <c r="A169" s="7" t="s">
        <v>168</v>
      </c>
      <c r="B169" s="8" t="s">
        <v>169</v>
      </c>
      <c r="C169" s="8" t="s">
        <v>170</v>
      </c>
      <c r="D169" s="15">
        <f>GETPIVOTDATA("Order Amount (Exclusive)",'[1]PIVOT 12MTHS'!$A$4,"Supplier Name","PINKGLEN PTY LTD T/A SAUNDERS ELECTRICS","Contract #s (manually updated)","500.2024.0028")</f>
        <v>775404.82</v>
      </c>
    </row>
    <row r="170" spans="1:4" ht="15.75" thickBot="1" x14ac:dyDescent="0.3">
      <c r="A170" s="16"/>
      <c r="B170" s="18"/>
      <c r="C170" s="17"/>
      <c r="D170" s="10"/>
    </row>
    <row r="171" spans="1:4" x14ac:dyDescent="0.25">
      <c r="A171" s="7" t="s">
        <v>171</v>
      </c>
      <c r="B171" s="9" t="s">
        <v>172</v>
      </c>
      <c r="C171" s="8" t="s">
        <v>173</v>
      </c>
      <c r="D171" s="15">
        <f>GETPIVOTDATA("Order Amount (Exclusive)",'[1]PIVOT 12MTHS'!$A$4,"Supplier Name","Plants Whitsunday Pty Ltd","Contract #s (manually updated)","500.2022.0083")</f>
        <v>876891.47</v>
      </c>
    </row>
    <row r="172" spans="1:4" ht="15.75" thickBot="1" x14ac:dyDescent="0.3">
      <c r="A172" s="16"/>
      <c r="B172" s="18"/>
      <c r="C172" s="12"/>
      <c r="D172" s="13"/>
    </row>
    <row r="173" spans="1:4" x14ac:dyDescent="0.25">
      <c r="A173" s="7" t="s">
        <v>174</v>
      </c>
      <c r="B173" s="22" t="s">
        <v>8</v>
      </c>
      <c r="C173" s="14" t="s">
        <v>9</v>
      </c>
      <c r="D173" s="15">
        <f>GETPIVOTDATA("Order Amount (Exclusive)",'[1]PIVOT 12MTHS'!$A$4,"Supplier Name","Powerup Project Reticulation Pty Ltd","Contract #s (manually updated)","500.2024.0043")</f>
        <v>268793.99</v>
      </c>
    </row>
    <row r="174" spans="1:4" ht="15.75" thickBot="1" x14ac:dyDescent="0.3">
      <c r="A174" s="16"/>
      <c r="B174" s="18"/>
      <c r="C174" s="12"/>
      <c r="D174" s="13"/>
    </row>
    <row r="175" spans="1:4" x14ac:dyDescent="0.25">
      <c r="A175" s="19" t="s">
        <v>175</v>
      </c>
      <c r="B175" s="14" t="s">
        <v>176</v>
      </c>
      <c r="C175" s="44" t="s">
        <v>177</v>
      </c>
      <c r="D175" s="15">
        <f>GETPIVOTDATA("Order Amount (Exclusive)",'[1]PIVOT 12MTHS'!$A$4,"Supplier Name","Project Delivery Managers Pty Ltd","Contract #s (manually updated)","500.2021.0050")</f>
        <v>2374112.65</v>
      </c>
    </row>
    <row r="176" spans="1:4" ht="15.75" thickBot="1" x14ac:dyDescent="0.3">
      <c r="A176" s="20"/>
      <c r="B176" s="12"/>
      <c r="C176" s="31"/>
      <c r="D176" s="13" t="s">
        <v>178</v>
      </c>
    </row>
    <row r="177" spans="1:4" x14ac:dyDescent="0.25">
      <c r="A177" s="7" t="s">
        <v>179</v>
      </c>
      <c r="B177" s="9" t="s">
        <v>31</v>
      </c>
      <c r="C177" s="9" t="s">
        <v>32</v>
      </c>
      <c r="D177" s="10">
        <f>GETPIVOTDATA("Order Amount (Exclusive)",'[1]PIVOT 12MTHS'!$A$4,"Supplier Name","Proserpine Electrical Services","Contract #s (manually updated)","500.2023.0019")</f>
        <v>270281.50999999995</v>
      </c>
    </row>
    <row r="178" spans="1:4" ht="15.75" thickBot="1" x14ac:dyDescent="0.3">
      <c r="A178" s="11"/>
      <c r="B178" s="12"/>
      <c r="C178" s="12"/>
      <c r="D178" s="13"/>
    </row>
    <row r="179" spans="1:4" x14ac:dyDescent="0.25">
      <c r="A179" s="7" t="s">
        <v>180</v>
      </c>
      <c r="B179" s="8" t="s">
        <v>181</v>
      </c>
      <c r="C179" s="8" t="s">
        <v>182</v>
      </c>
      <c r="D179" s="15">
        <f>GETPIVOTDATA("Order Amount (Exclusive)",'[1]PIVOT 12MTHS'!$A$4,"Supplier Name","Proserpine Machinery Service","Contract #s (manually updated)","500.2025.0019")</f>
        <v>414000</v>
      </c>
    </row>
    <row r="180" spans="1:4" ht="15.75" thickBot="1" x14ac:dyDescent="0.3">
      <c r="A180" s="11"/>
      <c r="B180" s="12"/>
      <c r="C180" s="12"/>
      <c r="D180" s="13"/>
    </row>
    <row r="181" spans="1:4" x14ac:dyDescent="0.25">
      <c r="A181" s="7" t="s">
        <v>183</v>
      </c>
      <c r="B181" s="8" t="s">
        <v>8</v>
      </c>
      <c r="C181" s="14" t="s">
        <v>9</v>
      </c>
      <c r="D181" s="15">
        <f>GETPIVOTDATA("Order Amount (Exclusive)",'[1]PIVOT 12MTHS'!$A$4,"Supplier Name","Proserpine Septic Service","Contract #s (manually updated)","500.2024.0043")</f>
        <v>229677.85</v>
      </c>
    </row>
    <row r="182" spans="1:4" ht="15.75" thickBot="1" x14ac:dyDescent="0.3">
      <c r="A182" s="11"/>
      <c r="B182" s="12"/>
      <c r="C182" s="12"/>
      <c r="D182" s="13"/>
    </row>
    <row r="183" spans="1:4" x14ac:dyDescent="0.25">
      <c r="A183" s="7" t="s">
        <v>184</v>
      </c>
      <c r="B183" s="8" t="s">
        <v>185</v>
      </c>
      <c r="C183" s="8" t="s">
        <v>186</v>
      </c>
      <c r="D183" s="15">
        <f>GETPIVOTDATA("Order Amount (Exclusive)",'[1]PIVOT 12MTHS'!$A$4,"Supplier Name","PSA Consulting Australia","Contract #s (manually updated)","LB335")</f>
        <v>213467.77</v>
      </c>
    </row>
    <row r="184" spans="1:4" ht="15.75" thickBot="1" x14ac:dyDescent="0.3">
      <c r="A184" s="11"/>
      <c r="B184" s="12"/>
      <c r="C184" s="12"/>
      <c r="D184" s="13"/>
    </row>
    <row r="185" spans="1:4" x14ac:dyDescent="0.25">
      <c r="A185" s="7" t="s">
        <v>187</v>
      </c>
      <c r="B185" s="8" t="s">
        <v>188</v>
      </c>
      <c r="C185" s="8" t="s">
        <v>189</v>
      </c>
      <c r="D185" s="15">
        <f>GETPIVOTDATA("Order Amount (Exclusive)",'[1]PIVOT 12MTHS'!$A$4,"Supplier Name","PVE Civil Solutions Pty Ltd","Contract #s (manually updated)","500.2025.0058")</f>
        <v>846161.23</v>
      </c>
    </row>
    <row r="186" spans="1:4" ht="15.75" thickBot="1" x14ac:dyDescent="0.3">
      <c r="A186" s="11"/>
      <c r="B186" s="12"/>
      <c r="C186" s="12"/>
      <c r="D186" s="13"/>
    </row>
    <row r="187" spans="1:4" x14ac:dyDescent="0.25">
      <c r="A187" s="29" t="s">
        <v>190</v>
      </c>
      <c r="B187" s="14" t="s">
        <v>191</v>
      </c>
      <c r="C187" s="14" t="s">
        <v>192</v>
      </c>
      <c r="D187" s="15">
        <f>GETPIVOTDATA("Order Amount (Exclusive)",'[1]PIVOT 12MTHS'!$A$4,"Supplier Name","PW Landscapes Pty Ltd","Contract #s (manually updated)","500.2023.0005")</f>
        <v>271389.51</v>
      </c>
    </row>
    <row r="188" spans="1:4" x14ac:dyDescent="0.25">
      <c r="A188" s="36"/>
      <c r="B188" s="17"/>
      <c r="C188" s="17"/>
      <c r="D188" s="10"/>
    </row>
    <row r="189" spans="1:4" x14ac:dyDescent="0.25">
      <c r="A189" s="36"/>
      <c r="B189" s="9" t="s">
        <v>141</v>
      </c>
      <c r="C189" s="9" t="s">
        <v>142</v>
      </c>
      <c r="D189" s="10">
        <f>GETPIVOTDATA("Order Amount (Exclusive)",'[1]PIVOT 12MTHS'!$A$4,"Supplier Name","PW Landscapes Pty Ltd","Contract #s (manually updated)","500.2025.0044")</f>
        <v>988534.49</v>
      </c>
    </row>
    <row r="190" spans="1:4" ht="15.75" thickBot="1" x14ac:dyDescent="0.3">
      <c r="A190" s="30"/>
      <c r="B190" s="12"/>
      <c r="C190" s="12"/>
      <c r="D190" s="13"/>
    </row>
    <row r="191" spans="1:4" x14ac:dyDescent="0.25">
      <c r="A191" s="36" t="s">
        <v>193</v>
      </c>
      <c r="B191" s="9" t="s">
        <v>194</v>
      </c>
      <c r="C191" s="9" t="s">
        <v>195</v>
      </c>
      <c r="D191" s="15">
        <f>GETPIVOTDATA("Order Amount (Exclusive)",'[1]PIVOT 12MTHS'!$A$4,"Supplier Name","Queensland Audit Office","Contract #s (manually updated)",)</f>
        <v>300540</v>
      </c>
    </row>
    <row r="192" spans="1:4" ht="15.75" thickBot="1" x14ac:dyDescent="0.3">
      <c r="A192" s="30"/>
      <c r="B192" s="12"/>
      <c r="C192" s="12"/>
      <c r="D192" s="13"/>
    </row>
    <row r="193" spans="1:4" x14ac:dyDescent="0.25">
      <c r="A193" s="29" t="s">
        <v>196</v>
      </c>
      <c r="B193" s="8" t="s">
        <v>197</v>
      </c>
      <c r="C193" s="8" t="s">
        <v>198</v>
      </c>
      <c r="D193" s="15">
        <f>GETPIVOTDATA("Order Amount (Exclusive)",'[1]PIVOT 12MTHS'!$A$4,"Supplier Name","Queensland Central Bitumen Pty Ltd","Contract #s (manually updated)","LB313")</f>
        <v>277227.40000000002</v>
      </c>
    </row>
    <row r="194" spans="1:4" ht="15.75" thickBot="1" x14ac:dyDescent="0.3">
      <c r="A194" s="30"/>
      <c r="B194" s="12"/>
      <c r="C194" s="12"/>
      <c r="D194" s="13"/>
    </row>
    <row r="195" spans="1:4" x14ac:dyDescent="0.25">
      <c r="A195" s="7" t="s">
        <v>199</v>
      </c>
      <c r="B195" s="8" t="s">
        <v>8</v>
      </c>
      <c r="C195" s="14" t="s">
        <v>9</v>
      </c>
      <c r="D195" s="15">
        <f>GETPIVOTDATA("Order Amount (Exclusive)",'[1]PIVOT 12MTHS'!$A$4,"Supplier Name","R J Wilson","Contract #s (manually updated)","500.2024.0043")</f>
        <v>202455</v>
      </c>
    </row>
    <row r="196" spans="1:4" ht="15.75" thickBot="1" x14ac:dyDescent="0.3">
      <c r="A196" s="11"/>
      <c r="B196" s="18"/>
      <c r="C196" s="12"/>
      <c r="D196" s="13"/>
    </row>
    <row r="197" spans="1:4" x14ac:dyDescent="0.25">
      <c r="A197" s="21" t="s">
        <v>200</v>
      </c>
      <c r="B197" s="22" t="s">
        <v>8</v>
      </c>
      <c r="C197" s="8" t="s">
        <v>9</v>
      </c>
      <c r="D197" s="15">
        <f>GETPIVOTDATA("Order Amount (Exclusive)",'[1]PIVOT 12MTHS'!$A$4,"Supplier Name","RC Baxter Grader Hire Pty Ltd","Contract #s (manually updated)","500.2024.0043")</f>
        <v>341824</v>
      </c>
    </row>
    <row r="198" spans="1:4" ht="15" customHeight="1" thickBot="1" x14ac:dyDescent="0.3">
      <c r="A198" s="20"/>
      <c r="B198" s="12"/>
      <c r="C198" s="12"/>
      <c r="D198" s="13" t="s">
        <v>178</v>
      </c>
    </row>
    <row r="199" spans="1:4" ht="15" customHeight="1" x14ac:dyDescent="0.25">
      <c r="A199" s="7" t="s">
        <v>201</v>
      </c>
      <c r="B199" s="8" t="s">
        <v>202</v>
      </c>
      <c r="C199" s="8" t="s">
        <v>203</v>
      </c>
      <c r="D199" s="15">
        <f>GETPIVOTDATA("Order Amount (Exclusive)",'[1]PIVOT 12MTHS'!$A$4,"Supplier Name","Red Emperor Constructions","Contract #s (manually updated)","500.2025.0050")</f>
        <v>293133.55</v>
      </c>
    </row>
    <row r="200" spans="1:4" ht="15" customHeight="1" thickBot="1" x14ac:dyDescent="0.3">
      <c r="A200" s="16"/>
      <c r="B200" s="12"/>
      <c r="C200" s="12"/>
      <c r="D200" s="13"/>
    </row>
    <row r="201" spans="1:4" x14ac:dyDescent="0.25">
      <c r="A201" s="25" t="s">
        <v>204</v>
      </c>
      <c r="B201" s="8" t="s">
        <v>205</v>
      </c>
      <c r="C201" s="8" t="s">
        <v>206</v>
      </c>
      <c r="D201" s="15">
        <f>GETPIVOTDATA("Order Amount (Exclusive)",'[1]PIVOT 12MTHS'!$A$4,"Supplier Name","Refrigerated Technologies Pty Ltd","Contract #s (manually updated)","500.2024.0041")</f>
        <v>321056.89</v>
      </c>
    </row>
    <row r="202" spans="1:4" ht="15.75" thickBot="1" x14ac:dyDescent="0.3">
      <c r="A202" s="16"/>
      <c r="B202" s="12"/>
      <c r="C202" s="12"/>
      <c r="D202" s="13"/>
    </row>
    <row r="203" spans="1:4" x14ac:dyDescent="0.25">
      <c r="A203" s="7" t="s">
        <v>207</v>
      </c>
      <c r="B203" s="8" t="s">
        <v>208</v>
      </c>
      <c r="C203" s="8" t="s">
        <v>209</v>
      </c>
      <c r="D203" s="15">
        <f>GETPIVOTDATA("Order Amount (Exclusive)",'[1]PIVOT 12MTHS'!$A$4,"Supplier Name","Roebuck Civil Pty Ltd","Contract #s (manually updated)","500.2025.0025")</f>
        <v>1898570.7</v>
      </c>
    </row>
    <row r="204" spans="1:4" x14ac:dyDescent="0.25">
      <c r="A204" s="23"/>
      <c r="B204" s="17"/>
      <c r="C204" s="17"/>
      <c r="D204" s="10"/>
    </row>
    <row r="205" spans="1:4" x14ac:dyDescent="0.25">
      <c r="A205" s="23"/>
      <c r="B205" s="9" t="s">
        <v>210</v>
      </c>
      <c r="C205" s="26" t="s">
        <v>211</v>
      </c>
      <c r="D205" s="10">
        <f>GETPIVOTDATA("Order Amount (Exclusive)",'[1]PIVOT 12MTHS'!$A$4,"Supplier Name","Roebuck Civil Pty Ltd","Contract #s (manually updated)","500.2025.0026")</f>
        <v>998392.37</v>
      </c>
    </row>
    <row r="206" spans="1:4" x14ac:dyDescent="0.25">
      <c r="A206" s="23"/>
      <c r="B206" s="17"/>
      <c r="C206" s="24"/>
      <c r="D206" s="10"/>
    </row>
    <row r="207" spans="1:4" x14ac:dyDescent="0.25">
      <c r="A207" s="23"/>
      <c r="B207" s="9" t="s">
        <v>212</v>
      </c>
      <c r="C207" s="26" t="s">
        <v>213</v>
      </c>
      <c r="D207" s="10">
        <f>GETPIVOTDATA("Order Amount (Exclusive)",'[1]PIVOT 12MTHS'!$A$4,"Supplier Name","Roebuck Civil Pty Ltd","Contract #s (manually updated)","500.2025.0047")</f>
        <v>296277.56</v>
      </c>
    </row>
    <row r="208" spans="1:4" ht="15.75" thickBot="1" x14ac:dyDescent="0.3">
      <c r="A208" s="11"/>
      <c r="B208" s="12"/>
      <c r="C208" s="31"/>
      <c r="D208" s="13"/>
    </row>
    <row r="209" spans="1:4" x14ac:dyDescent="0.25">
      <c r="A209" s="7" t="s">
        <v>214</v>
      </c>
      <c r="B209" s="8" t="s">
        <v>215</v>
      </c>
      <c r="C209" s="22" t="s">
        <v>216</v>
      </c>
      <c r="D209" s="15">
        <f>GETPIVOTDATA("Order Amount (Exclusive)",'[1]PIVOT 12MTHS'!$A$4,"Supplier Name","RP Infrastructure Pty Ltd","Contract #s (manually updated)","500.2025.0037")</f>
        <v>440455</v>
      </c>
    </row>
    <row r="210" spans="1:4" ht="15.75" thickBot="1" x14ac:dyDescent="0.3">
      <c r="A210" s="16"/>
      <c r="B210" s="12"/>
      <c r="C210" s="31"/>
      <c r="D210" s="13"/>
    </row>
    <row r="211" spans="1:4" x14ac:dyDescent="0.25">
      <c r="A211" s="7" t="s">
        <v>217</v>
      </c>
      <c r="B211" s="8" t="s">
        <v>218</v>
      </c>
      <c r="C211" s="22" t="s">
        <v>219</v>
      </c>
      <c r="D211" s="15">
        <f>GETPIVOTDATA("Order Amount (Exclusive)",'[1]PIVOT 12MTHS'!$A$4,"Supplier Name","Seaforth Civil Pty Ltd","Contract #s (manually updated)","500.2025.0028")</f>
        <v>393430.36</v>
      </c>
    </row>
    <row r="212" spans="1:4" ht="15.75" thickBot="1" x14ac:dyDescent="0.3">
      <c r="A212" s="11"/>
      <c r="B212" s="18"/>
      <c r="C212" s="18"/>
      <c r="D212" s="13"/>
    </row>
    <row r="213" spans="1:4" x14ac:dyDescent="0.25">
      <c r="A213" s="7" t="s">
        <v>220</v>
      </c>
      <c r="B213" s="8" t="s">
        <v>221</v>
      </c>
      <c r="C213" s="8" t="s">
        <v>222</v>
      </c>
      <c r="D213" s="15">
        <f>GETPIVOTDATA("Order Amount (Exclusive)",'[1]PIVOT 12MTHS'!$A$4,"Supplier Name","Searle Plumbing Pty Ltd","Contract #s (manually updated)","500.2025.0061")</f>
        <v>388226.06</v>
      </c>
    </row>
    <row r="214" spans="1:4" ht="15.75" thickBot="1" x14ac:dyDescent="0.3">
      <c r="A214" s="11"/>
      <c r="B214" s="18"/>
      <c r="C214" s="18"/>
      <c r="D214" s="10"/>
    </row>
    <row r="215" spans="1:4" x14ac:dyDescent="0.25">
      <c r="A215" s="7" t="s">
        <v>223</v>
      </c>
      <c r="B215" s="26" t="s">
        <v>8</v>
      </c>
      <c r="C215" s="8" t="s">
        <v>9</v>
      </c>
      <c r="D215" s="15">
        <f>GETPIVOTDATA("Order Amount (Exclusive)",'[1]PIVOT 12MTHS'!$A$4,"Supplier Name","Searles Haulage Pty Ltd","Contract #s (manually updated)","500.2024.0043")</f>
        <v>474508.5</v>
      </c>
    </row>
    <row r="216" spans="1:4" x14ac:dyDescent="0.25">
      <c r="A216" s="23"/>
      <c r="B216" s="9"/>
      <c r="C216" s="17"/>
      <c r="D216" s="10"/>
    </row>
    <row r="217" spans="1:4" x14ac:dyDescent="0.25">
      <c r="A217" s="23"/>
      <c r="B217" s="9" t="s">
        <v>25</v>
      </c>
      <c r="C217" s="9" t="s">
        <v>128</v>
      </c>
      <c r="D217" s="10">
        <f>GETPIVOTDATA("Order Amount (Exclusive)",'[1]PIVOT 12MTHS'!$A$4,"Supplier Name","Searles Haulage Pty Ltd","Contract #s (manually updated)",)</f>
        <v>307924.43000000011</v>
      </c>
    </row>
    <row r="218" spans="1:4" x14ac:dyDescent="0.25">
      <c r="A218" s="23"/>
      <c r="B218" s="9"/>
      <c r="C218" s="17"/>
      <c r="D218" s="10"/>
    </row>
    <row r="219" spans="1:4" x14ac:dyDescent="0.25">
      <c r="A219" s="23"/>
      <c r="B219" s="9" t="s">
        <v>224</v>
      </c>
      <c r="C219" s="9" t="s">
        <v>225</v>
      </c>
      <c r="D219" s="10">
        <f>GETPIVOTDATA("Order Amount (Exclusive)",'[1]PIVOT 12MTHS'!$A$4,"Supplier Name","Searles Haulage Pty Ltd","Contract #s (manually updated)","500.2025.0056")</f>
        <v>2706617.88</v>
      </c>
    </row>
    <row r="220" spans="1:4" x14ac:dyDescent="0.25">
      <c r="A220" s="23"/>
      <c r="B220" s="9"/>
      <c r="C220" s="17"/>
      <c r="D220" s="10"/>
    </row>
    <row r="221" spans="1:4" x14ac:dyDescent="0.25">
      <c r="A221" s="23"/>
      <c r="B221" s="9" t="s">
        <v>226</v>
      </c>
      <c r="C221" s="9" t="s">
        <v>227</v>
      </c>
      <c r="D221" s="10">
        <f>GETPIVOTDATA("Order Amount (Exclusive)",'[1]PIVOT 12MTHS'!$A$4,"Supplier Name","Searles Haulage Pty Ltd","Contract #s (manually updated)","500.2026.0004")</f>
        <v>2907442.72</v>
      </c>
    </row>
    <row r="222" spans="1:4" ht="15.75" thickBot="1" x14ac:dyDescent="0.3">
      <c r="A222" s="11"/>
      <c r="B222" s="18"/>
      <c r="C222" s="12"/>
      <c r="D222" s="13"/>
    </row>
    <row r="223" spans="1:4" x14ac:dyDescent="0.25">
      <c r="A223" s="7" t="s">
        <v>228</v>
      </c>
      <c r="B223" s="8" t="s">
        <v>229</v>
      </c>
      <c r="C223" s="8" t="s">
        <v>230</v>
      </c>
      <c r="D223" s="15">
        <f>GETPIVOTDATA("Order Amount (Exclusive)",'[1]PIVOT 12MTHS'!$A$4,"Supplier Name","Shepherd Services Pty Ltd","Contract #s (manually updated)","LB280")</f>
        <v>322888.5</v>
      </c>
    </row>
    <row r="224" spans="1:4" ht="15.75" thickBot="1" x14ac:dyDescent="0.3">
      <c r="A224" s="11"/>
      <c r="B224" s="18"/>
      <c r="C224" s="12"/>
      <c r="D224" s="13"/>
    </row>
    <row r="225" spans="1:4" x14ac:dyDescent="0.25">
      <c r="A225" s="21" t="s">
        <v>231</v>
      </c>
      <c r="B225" s="22" t="s">
        <v>8</v>
      </c>
      <c r="C225" s="8" t="s">
        <v>9</v>
      </c>
      <c r="D225" s="15">
        <f>'[1]PIVOT 12MTHS'!D313</f>
        <v>249159.5</v>
      </c>
    </row>
    <row r="226" spans="1:4" ht="15.75" thickBot="1" x14ac:dyDescent="0.3">
      <c r="A226" s="20"/>
      <c r="B226" s="12"/>
      <c r="C226" s="12"/>
      <c r="D226" s="13"/>
    </row>
    <row r="227" spans="1:4" x14ac:dyDescent="0.25">
      <c r="A227" s="7" t="s">
        <v>232</v>
      </c>
      <c r="B227" s="8" t="s">
        <v>233</v>
      </c>
      <c r="C227" s="8" t="s">
        <v>234</v>
      </c>
      <c r="D227" s="15">
        <f>GETPIVOTDATA("Order Amount (Exclusive)",'[1]PIVOT 12MTHS'!$A$4,"Supplier Name","SMEC Australia Pty Ltd","Contract #s (manually updated)","500.2024.0073")</f>
        <v>649368.59</v>
      </c>
    </row>
    <row r="228" spans="1:4" ht="15.75" thickBot="1" x14ac:dyDescent="0.3">
      <c r="A228" s="16"/>
      <c r="B228" s="12"/>
      <c r="C228" s="12"/>
      <c r="D228" s="13"/>
    </row>
    <row r="229" spans="1:4" x14ac:dyDescent="0.25">
      <c r="A229" s="7" t="s">
        <v>235</v>
      </c>
      <c r="B229" s="8" t="s">
        <v>25</v>
      </c>
      <c r="C229" s="8" t="s">
        <v>236</v>
      </c>
      <c r="D229" s="15">
        <f>GETPIVOTDATA("Order Amount (Exclusive)",'[1]PIVOT 12MTHS'!$A$4,"Supplier Name","Splash Pools","Contract #s (manually updated)",)</f>
        <v>463030.85</v>
      </c>
    </row>
    <row r="230" spans="1:4" ht="15.75" thickBot="1" x14ac:dyDescent="0.3">
      <c r="A230" s="16"/>
      <c r="B230" s="12"/>
      <c r="C230" s="12"/>
      <c r="D230" s="13"/>
    </row>
    <row r="231" spans="1:4" x14ac:dyDescent="0.25">
      <c r="A231" s="25" t="s">
        <v>237</v>
      </c>
      <c r="B231" s="17" t="s">
        <v>238</v>
      </c>
      <c r="C231" s="17" t="s">
        <v>239</v>
      </c>
      <c r="D231" s="45">
        <f>'[1]PIVOT 12MTHS'!D320</f>
        <v>3506086.29</v>
      </c>
    </row>
    <row r="232" spans="1:4" ht="15.75" thickBot="1" x14ac:dyDescent="0.3">
      <c r="A232" s="16"/>
      <c r="B232" s="12"/>
      <c r="C232" s="12"/>
      <c r="D232" s="46"/>
    </row>
    <row r="233" spans="1:4" x14ac:dyDescent="0.25">
      <c r="A233" s="23" t="s">
        <v>240</v>
      </c>
      <c r="B233" s="8" t="s">
        <v>241</v>
      </c>
      <c r="C233" s="8" t="s">
        <v>242</v>
      </c>
      <c r="D233" s="15">
        <f>GETPIVOTDATA("Order Amount (Exclusive)",'[1]PIVOT 12MTHS'!$A$4,"Supplier Name","Technology One Ltd","Contract #s (manually updated)","500.2017.0067")</f>
        <v>1728597.2</v>
      </c>
    </row>
    <row r="234" spans="1:4" ht="15.75" thickBot="1" x14ac:dyDescent="0.3">
      <c r="A234" s="16"/>
      <c r="B234" s="12"/>
      <c r="C234" s="12"/>
      <c r="D234" s="13"/>
    </row>
    <row r="235" spans="1:4" x14ac:dyDescent="0.25">
      <c r="A235" s="19" t="s">
        <v>243</v>
      </c>
      <c r="B235" s="8" t="s">
        <v>244</v>
      </c>
      <c r="C235" s="8" t="s">
        <v>245</v>
      </c>
      <c r="D235" s="15">
        <f>GETPIVOTDATA("Order Amount (Exclusive)",'[1]PIVOT 12MTHS'!$A$4,"Supplier Name","Telstra Limited","Contract #s (manually updated)","NPN1.18")</f>
        <v>2822984.6200000006</v>
      </c>
    </row>
    <row r="236" spans="1:4" ht="15.75" thickBot="1" x14ac:dyDescent="0.3">
      <c r="A236" s="20"/>
      <c r="B236" s="18"/>
      <c r="C236" s="12"/>
      <c r="D236" s="13"/>
    </row>
    <row r="237" spans="1:4" x14ac:dyDescent="0.25">
      <c r="A237" s="7" t="s">
        <v>246</v>
      </c>
      <c r="B237" s="8" t="s">
        <v>247</v>
      </c>
      <c r="C237" s="8" t="s">
        <v>248</v>
      </c>
      <c r="D237" s="15">
        <f>GETPIVOTDATA("Order Amount (Exclusive)",'[1]PIVOT 12MTHS'!$A$4,"Supplier Name","The Pittard Rush Group Pty Ltd","Contract #s (manually updated)","500.2024.0058")</f>
        <v>226951</v>
      </c>
    </row>
    <row r="238" spans="1:4" x14ac:dyDescent="0.25">
      <c r="A238" s="23"/>
      <c r="B238" s="9"/>
      <c r="C238" s="17"/>
      <c r="D238" s="10"/>
    </row>
    <row r="239" spans="1:4" x14ac:dyDescent="0.25">
      <c r="A239" s="23"/>
      <c r="B239" s="9" t="s">
        <v>249</v>
      </c>
      <c r="C239" s="9" t="s">
        <v>250</v>
      </c>
      <c r="D239" s="10">
        <f>GETPIVOTDATA("Order Amount (Exclusive)",'[1]PIVOT 12MTHS'!$A$4,"Supplier Name","The Pittard Rush Group Pty Ltd","Contract #s (manually updated)","500.2023.069")</f>
        <v>360547.38</v>
      </c>
    </row>
    <row r="240" spans="1:4" ht="15.75" thickBot="1" x14ac:dyDescent="0.3">
      <c r="A240" s="11"/>
      <c r="B240" s="18"/>
      <c r="C240" s="12"/>
      <c r="D240" s="13"/>
    </row>
    <row r="241" spans="1:4" x14ac:dyDescent="0.25">
      <c r="A241" s="7" t="s">
        <v>251</v>
      </c>
      <c r="B241" s="22" t="s">
        <v>8</v>
      </c>
      <c r="C241" s="8" t="s">
        <v>9</v>
      </c>
      <c r="D241" s="15">
        <f>GETPIVOTDATA("Order Amount (Exclusive)",'[1]PIVOT 12MTHS'!$A$4,"Supplier Name","The Rob Stoneham Family Trust","Contract #s (manually updated)","500.2024.0043")</f>
        <v>277385</v>
      </c>
    </row>
    <row r="242" spans="1:4" ht="15.75" thickBot="1" x14ac:dyDescent="0.3">
      <c r="A242" s="11"/>
      <c r="B242" s="18"/>
      <c r="C242" s="18"/>
      <c r="D242" s="13"/>
    </row>
    <row r="243" spans="1:4" x14ac:dyDescent="0.25">
      <c r="A243" s="19" t="s">
        <v>252</v>
      </c>
      <c r="B243" s="8" t="s">
        <v>68</v>
      </c>
      <c r="C243" s="14" t="s">
        <v>253</v>
      </c>
      <c r="D243" s="15">
        <f>GETPIVOTDATA("Order Amount (Exclusive)",'[1]PIVOT 12MTHS'!$A$4,"Supplier Name","Tourism Whitsundays","Contract #s (manually updated)","Funding Agreement 2024/25")</f>
        <v>880000</v>
      </c>
    </row>
    <row r="244" spans="1:4" ht="15.75" thickBot="1" x14ac:dyDescent="0.3">
      <c r="A244" s="20"/>
      <c r="B244" s="12"/>
      <c r="C244" s="12"/>
      <c r="D244" s="13"/>
    </row>
    <row r="245" spans="1:4" x14ac:dyDescent="0.25">
      <c r="A245" s="19" t="s">
        <v>254</v>
      </c>
      <c r="B245" s="14" t="s">
        <v>255</v>
      </c>
      <c r="C245" s="14" t="s">
        <v>256</v>
      </c>
      <c r="D245" s="15">
        <f>GETPIVOTDATA("Order Amount (Exclusive)",'[1]PIVOT 12MTHS'!$A$4,"Supplier Name","Townsville City Council","Contract #s (manually updated)","235 (F)")</f>
        <v>359500</v>
      </c>
    </row>
    <row r="246" spans="1:4" ht="15.75" thickBot="1" x14ac:dyDescent="0.3">
      <c r="A246" s="20"/>
      <c r="B246" s="12"/>
      <c r="C246" s="12"/>
      <c r="D246" s="13" t="s">
        <v>178</v>
      </c>
    </row>
    <row r="247" spans="1:4" x14ac:dyDescent="0.25">
      <c r="A247" s="19" t="s">
        <v>257</v>
      </c>
      <c r="B247" s="14" t="s">
        <v>15</v>
      </c>
      <c r="C247" s="14" t="s">
        <v>16</v>
      </c>
      <c r="D247" s="15">
        <f>GETPIVOTDATA("Order Amount (Exclusive)",'[1]PIVOT 12MTHS'!$A$4,"Supplier Name","Tropic Distributors Pty Ltd","Contract #s (manually updated)","LB321")</f>
        <v>715945.37</v>
      </c>
    </row>
    <row r="248" spans="1:4" ht="15.75" thickBot="1" x14ac:dyDescent="0.3">
      <c r="A248" s="20"/>
      <c r="B248" s="12"/>
      <c r="C248" s="12"/>
      <c r="D248" s="13"/>
    </row>
    <row r="249" spans="1:4" x14ac:dyDescent="0.25">
      <c r="A249" s="7" t="s">
        <v>258</v>
      </c>
      <c r="B249" s="8" t="s">
        <v>259</v>
      </c>
      <c r="C249" s="8" t="s">
        <v>260</v>
      </c>
      <c r="D249" s="15">
        <f>GETPIVOTDATA("Order Amount (Exclusive)",'[1]PIVOT 12MTHS'!$A$4,"Supplier Name","TRUST ONLY - Fergus Builders Pty Ltd","Contract #s (manually updated)","500.2025.0052")</f>
        <v>13123270</v>
      </c>
    </row>
    <row r="250" spans="1:4" ht="15.75" thickBot="1" x14ac:dyDescent="0.3">
      <c r="A250" s="16"/>
      <c r="B250" s="12"/>
      <c r="C250" s="12"/>
      <c r="D250" s="13"/>
    </row>
    <row r="251" spans="1:4" x14ac:dyDescent="0.25">
      <c r="A251" s="7" t="s">
        <v>261</v>
      </c>
      <c r="B251" s="8" t="s">
        <v>262</v>
      </c>
      <c r="C251" s="8" t="s">
        <v>263</v>
      </c>
      <c r="D251" s="15">
        <f>GETPIVOTDATA("Order Amount (Exclusive)",'[1]PIVOT 12MTHS'!$A$4,"Supplier Name","Ultimate Cleaning &amp; Maintenance Solutions","Contract #s (manually updated)","500.2022.0007")</f>
        <v>204999.96</v>
      </c>
    </row>
    <row r="252" spans="1:4" ht="15.75" thickBot="1" x14ac:dyDescent="0.3">
      <c r="A252" s="16"/>
      <c r="B252" s="12"/>
      <c r="C252" s="12"/>
      <c r="D252" s="13"/>
    </row>
    <row r="253" spans="1:4" x14ac:dyDescent="0.25">
      <c r="A253" s="7" t="s">
        <v>264</v>
      </c>
      <c r="B253" s="8" t="s">
        <v>265</v>
      </c>
      <c r="C253" s="8" t="s">
        <v>266</v>
      </c>
      <c r="D253" s="15">
        <f>GETPIVOTDATA("Order Amount (Exclusive)",'[1]PIVOT 12MTHS'!$A$4,"Supplier Name","Urbis Pty Ltd","Contract #s (manually updated)","500.2024.0070")</f>
        <v>207560</v>
      </c>
    </row>
    <row r="254" spans="1:4" x14ac:dyDescent="0.25">
      <c r="A254" s="23"/>
      <c r="B254" s="17"/>
      <c r="C254" s="17"/>
      <c r="D254" s="10"/>
    </row>
    <row r="255" spans="1:4" x14ac:dyDescent="0.25">
      <c r="A255" s="23"/>
      <c r="B255" s="9" t="s">
        <v>185</v>
      </c>
      <c r="C255" s="9" t="s">
        <v>186</v>
      </c>
      <c r="D255" s="10">
        <f>GETPIVOTDATA("Order Amount (Exclusive)",'[1]PIVOT 12MTHS'!$A$4,"Supplier Name","Urbis Pty Ltd","Contract #s (manually updated)","LB335")</f>
        <v>314415</v>
      </c>
    </row>
    <row r="256" spans="1:4" ht="15.75" thickBot="1" x14ac:dyDescent="0.3">
      <c r="A256" s="11"/>
      <c r="B256" s="12"/>
      <c r="C256" s="12"/>
      <c r="D256" s="13"/>
    </row>
    <row r="257" spans="1:10" x14ac:dyDescent="0.25">
      <c r="A257" s="19" t="s">
        <v>267</v>
      </c>
      <c r="B257" s="14" t="s">
        <v>268</v>
      </c>
      <c r="C257" s="14" t="s">
        <v>269</v>
      </c>
      <c r="D257" s="15">
        <f>GETPIVOTDATA("Order Amount (Exclusive)",'[1]PIVOT 12MTHS'!$A$4,"Supplier Name","Vicinity Real Estate Licence Pty Ltd","Contract #s (manually updated)","Lease 510.2023.0002")</f>
        <v>229955.95</v>
      </c>
    </row>
    <row r="258" spans="1:10" ht="15.75" thickBot="1" x14ac:dyDescent="0.3">
      <c r="A258" s="53"/>
      <c r="B258" s="17"/>
      <c r="C258" s="17"/>
      <c r="D258" s="38"/>
    </row>
    <row r="259" spans="1:10" x14ac:dyDescent="0.25">
      <c r="A259" s="54" t="s">
        <v>270</v>
      </c>
      <c r="B259" s="39" t="s">
        <v>271</v>
      </c>
      <c r="C259" s="8" t="s">
        <v>245</v>
      </c>
      <c r="D259" s="40">
        <f>GETPIVOTDATA("Order Amount (Exclusive)",'[1]PIVOT 12MTHS'!$A$4,"Supplier Name","Vocus Pty Ltd","Contract #s (manually updated)","NPN1.18")</f>
        <v>225550.9</v>
      </c>
    </row>
    <row r="260" spans="1:10" ht="15.75" thickBot="1" x14ac:dyDescent="0.3">
      <c r="A260" s="16"/>
      <c r="B260" s="12"/>
      <c r="C260" s="12"/>
      <c r="D260" s="13"/>
    </row>
    <row r="261" spans="1:10" x14ac:dyDescent="0.25">
      <c r="A261" s="7" t="s">
        <v>272</v>
      </c>
      <c r="B261" s="8" t="s">
        <v>273</v>
      </c>
      <c r="C261" s="22" t="s">
        <v>274</v>
      </c>
      <c r="D261" s="15">
        <f>GETPIVOTDATA("Order Amount (Exclusive)",'[1]PIVOT 12MTHS'!$A$4,"Supplier Name","Wanless Waste Management North QLD Pty Ltd","Contract #s (manually updated)","500.2024.0061")</f>
        <v>1649072.19</v>
      </c>
    </row>
    <row r="262" spans="1:10" ht="15.75" thickBot="1" x14ac:dyDescent="0.3">
      <c r="A262" s="16"/>
      <c r="B262" s="12"/>
      <c r="C262" s="12"/>
      <c r="D262" s="13"/>
    </row>
    <row r="263" spans="1:10" x14ac:dyDescent="0.25">
      <c r="A263" s="41" t="s">
        <v>275</v>
      </c>
      <c r="B263" s="8" t="s">
        <v>255</v>
      </c>
      <c r="C263" s="8" t="s">
        <v>276</v>
      </c>
      <c r="D263" s="15">
        <f>GETPIVOTDATA("Order Amount (Exclusive)",'[1]PIVOT 12MTHS'!$A$4,"Supplier Name","WASTE LEVY - Department of Environment, Science &amp; Innovation","Contract #s (manually updated)","235 (f)")</f>
        <v>1927399.73</v>
      </c>
    </row>
    <row r="264" spans="1:10" ht="15.75" thickBot="1" x14ac:dyDescent="0.3">
      <c r="A264" s="42"/>
      <c r="B264" s="12"/>
      <c r="C264" s="12"/>
      <c r="D264" s="13"/>
    </row>
    <row r="265" spans="1:10" x14ac:dyDescent="0.25">
      <c r="A265" s="29" t="s">
        <v>277</v>
      </c>
      <c r="B265" s="8" t="s">
        <v>278</v>
      </c>
      <c r="C265" s="8" t="s">
        <v>279</v>
      </c>
      <c r="D265" s="15">
        <f>GETPIVOTDATA("Order Amount (Exclusive)",'[1]PIVOT 12MTHS'!$A$4,"Supplier Name","Water Services Engineering Pty Ltd","Contract #s (manually updated)","500.2025.0013")</f>
        <v>338375</v>
      </c>
    </row>
    <row r="266" spans="1:10" ht="15.75" thickBot="1" x14ac:dyDescent="0.3">
      <c r="A266" s="52"/>
      <c r="B266" s="12"/>
      <c r="C266" s="12"/>
      <c r="D266" s="13"/>
    </row>
    <row r="267" spans="1:10" x14ac:dyDescent="0.25">
      <c r="A267" s="29" t="s">
        <v>280</v>
      </c>
      <c r="B267" s="8" t="s">
        <v>281</v>
      </c>
      <c r="C267" s="8" t="s">
        <v>282</v>
      </c>
      <c r="D267" s="15">
        <f>GETPIVOTDATA("Order Amount (Exclusive)",'[1]PIVOT 12MTHS'!$A$4,"Supplier Name","Western Truck Group Pty Ltd","Contract #s (manually updated)","500.2024.FL006")</f>
        <v>618421.81000000006</v>
      </c>
    </row>
    <row r="268" spans="1:10" ht="15.75" thickBot="1" x14ac:dyDescent="0.3">
      <c r="A268" s="52"/>
      <c r="B268" s="12"/>
      <c r="C268" s="12"/>
      <c r="D268" s="13"/>
    </row>
    <row r="269" spans="1:10" x14ac:dyDescent="0.25">
      <c r="A269" s="7" t="s">
        <v>283</v>
      </c>
      <c r="B269" s="8" t="s">
        <v>68</v>
      </c>
      <c r="C269" s="8" t="s">
        <v>284</v>
      </c>
      <c r="D269" s="15">
        <f>GETPIVOTDATA("Order Amount (Exclusive)",'[1]PIVOT 12MTHS'!$A$4,"Supplier Name","Whitsunday Rivers Improvement Trust","Contract #s (manually updated)",)</f>
        <v>209738.16</v>
      </c>
    </row>
    <row r="270" spans="1:10" ht="15.75" thickBot="1" x14ac:dyDescent="0.3">
      <c r="A270" s="16"/>
      <c r="B270" s="12"/>
      <c r="C270" s="12"/>
      <c r="D270" s="10"/>
    </row>
    <row r="271" spans="1:10" ht="18" customHeight="1" x14ac:dyDescent="0.25">
      <c r="A271" s="7" t="s">
        <v>285</v>
      </c>
      <c r="B271" s="8" t="s">
        <v>286</v>
      </c>
      <c r="C271" s="9" t="s">
        <v>287</v>
      </c>
      <c r="D271" s="55">
        <f>GETPIVOTDATA("Order Amount (Exclusive)",'[1]PIVOT 12MTHS'!$A$4,"Supplier Name","Whitsunday Transit","Contract #s (manually updated)","235 (a)")</f>
        <v>452018.18</v>
      </c>
      <c r="J271" s="56"/>
    </row>
    <row r="272" spans="1:10" ht="15.75" thickBot="1" x14ac:dyDescent="0.3">
      <c r="A272" s="11"/>
      <c r="B272" s="18"/>
      <c r="C272" s="18"/>
      <c r="D272" s="57"/>
      <c r="I272" s="58"/>
    </row>
    <row r="273" spans="1:10" x14ac:dyDescent="0.25">
      <c r="A273" s="7" t="s">
        <v>288</v>
      </c>
      <c r="B273" s="8" t="s">
        <v>28</v>
      </c>
      <c r="C273" s="8" t="s">
        <v>29</v>
      </c>
      <c r="D273" s="55">
        <f>GETPIVOTDATA("Order Amount (Exclusive)",'[1]PIVOT 12MTHS'!$A$4,"Supplier Name","Willplay Pty Ltd","Contract #s (manually updated)","LB303")</f>
        <v>208747.74999999997</v>
      </c>
      <c r="I273" s="58"/>
    </row>
    <row r="274" spans="1:10" ht="15.75" thickBot="1" x14ac:dyDescent="0.3">
      <c r="A274" s="11"/>
      <c r="B274" s="18"/>
      <c r="C274" s="12"/>
      <c r="D274" s="57"/>
      <c r="I274" s="58"/>
    </row>
    <row r="275" spans="1:10" ht="18" customHeight="1" x14ac:dyDescent="0.25">
      <c r="A275" s="7" t="s">
        <v>289</v>
      </c>
      <c r="B275" s="8" t="s">
        <v>290</v>
      </c>
      <c r="C275" s="8" t="s">
        <v>291</v>
      </c>
      <c r="D275" s="55">
        <f>GETPIVOTDATA("Order Amount (Exclusive)",'[1]PIVOT 12MTHS'!$A$4,"Supplier Name","Wilson Security Pty Ltd","Contract #s (manually updated)","500.2024.0031")</f>
        <v>1409713.13</v>
      </c>
      <c r="J275" s="56"/>
    </row>
    <row r="276" spans="1:10" ht="15.75" thickBot="1" x14ac:dyDescent="0.3">
      <c r="A276" s="11"/>
      <c r="B276" s="18"/>
      <c r="C276" s="18"/>
      <c r="D276" s="57"/>
      <c r="I276" s="58"/>
    </row>
    <row r="277" spans="1:10" ht="15" customHeight="1" x14ac:dyDescent="0.25">
      <c r="D277" s="59"/>
    </row>
    <row r="278" spans="1:10" x14ac:dyDescent="0.25">
      <c r="D278" s="59"/>
    </row>
    <row r="280" spans="1:10" x14ac:dyDescent="0.25">
      <c r="I280" s="60"/>
    </row>
    <row r="3410" spans="8:8" x14ac:dyDescent="0.25">
      <c r="H3410" s="2" cm="1">
        <f t="array" aca="1" ref="H3410" ca="1">'[1]PO Dump'!W3413LB299+H3410</f>
        <v>0</v>
      </c>
    </row>
  </sheetData>
  <mergeCells count="497">
    <mergeCell ref="A273:A274"/>
    <mergeCell ref="B273:B274"/>
    <mergeCell ref="C273:C274"/>
    <mergeCell ref="D273:D274"/>
    <mergeCell ref="A275:A276"/>
    <mergeCell ref="B275:B276"/>
    <mergeCell ref="C275:C276"/>
    <mergeCell ref="D275:D276"/>
    <mergeCell ref="A269:A270"/>
    <mergeCell ref="B269:B270"/>
    <mergeCell ref="C269:C270"/>
    <mergeCell ref="D269:D270"/>
    <mergeCell ref="A271:A272"/>
    <mergeCell ref="B271:B272"/>
    <mergeCell ref="C271:C272"/>
    <mergeCell ref="D271:D272"/>
    <mergeCell ref="A265:A266"/>
    <mergeCell ref="B265:B266"/>
    <mergeCell ref="C265:C266"/>
    <mergeCell ref="D265:D266"/>
    <mergeCell ref="A267:A268"/>
    <mergeCell ref="B267:B268"/>
    <mergeCell ref="C267:C268"/>
    <mergeCell ref="D267:D268"/>
    <mergeCell ref="A261:A262"/>
    <mergeCell ref="B261:B262"/>
    <mergeCell ref="C261:C262"/>
    <mergeCell ref="D261:D262"/>
    <mergeCell ref="A263:A264"/>
    <mergeCell ref="B263:B264"/>
    <mergeCell ref="C263:C264"/>
    <mergeCell ref="D263:D264"/>
    <mergeCell ref="A257:A258"/>
    <mergeCell ref="B257:B258"/>
    <mergeCell ref="C257:C258"/>
    <mergeCell ref="D257:D258"/>
    <mergeCell ref="A259:A260"/>
    <mergeCell ref="B259:B260"/>
    <mergeCell ref="C259:C260"/>
    <mergeCell ref="D259:D260"/>
    <mergeCell ref="A253:A256"/>
    <mergeCell ref="B253:B254"/>
    <mergeCell ref="C253:C254"/>
    <mergeCell ref="D253:D254"/>
    <mergeCell ref="B255:B256"/>
    <mergeCell ref="C255:C256"/>
    <mergeCell ref="D255:D256"/>
    <mergeCell ref="A249:A250"/>
    <mergeCell ref="B249:B250"/>
    <mergeCell ref="C249:C250"/>
    <mergeCell ref="D249:D250"/>
    <mergeCell ref="A251:A252"/>
    <mergeCell ref="B251:B252"/>
    <mergeCell ref="C251:C252"/>
    <mergeCell ref="D251:D252"/>
    <mergeCell ref="A245:A246"/>
    <mergeCell ref="B245:B246"/>
    <mergeCell ref="C245:C246"/>
    <mergeCell ref="D245:D246"/>
    <mergeCell ref="A247:A248"/>
    <mergeCell ref="B247:B248"/>
    <mergeCell ref="C247:C248"/>
    <mergeCell ref="D247:D248"/>
    <mergeCell ref="D239:D240"/>
    <mergeCell ref="A241:A242"/>
    <mergeCell ref="B241:B242"/>
    <mergeCell ref="C241:C242"/>
    <mergeCell ref="D241:D242"/>
    <mergeCell ref="A243:A244"/>
    <mergeCell ref="B243:B244"/>
    <mergeCell ref="C243:C244"/>
    <mergeCell ref="D243:D244"/>
    <mergeCell ref="A235:A236"/>
    <mergeCell ref="B235:B236"/>
    <mergeCell ref="C235:C236"/>
    <mergeCell ref="D235:D236"/>
    <mergeCell ref="A237:A240"/>
    <mergeCell ref="B237:B238"/>
    <mergeCell ref="C237:C238"/>
    <mergeCell ref="D237:D238"/>
    <mergeCell ref="B239:B240"/>
    <mergeCell ref="C239:C240"/>
    <mergeCell ref="A231:A232"/>
    <mergeCell ref="B231:B232"/>
    <mergeCell ref="C231:C232"/>
    <mergeCell ref="D231:D232"/>
    <mergeCell ref="A233:A234"/>
    <mergeCell ref="B233:B234"/>
    <mergeCell ref="C233:C234"/>
    <mergeCell ref="D233:D234"/>
    <mergeCell ref="A227:A228"/>
    <mergeCell ref="B227:B228"/>
    <mergeCell ref="C227:C228"/>
    <mergeCell ref="D227:D228"/>
    <mergeCell ref="A229:A230"/>
    <mergeCell ref="B229:B230"/>
    <mergeCell ref="C229:C230"/>
    <mergeCell ref="D229:D230"/>
    <mergeCell ref="A223:A224"/>
    <mergeCell ref="B223:B224"/>
    <mergeCell ref="C223:C224"/>
    <mergeCell ref="D223:D224"/>
    <mergeCell ref="A225:A226"/>
    <mergeCell ref="B225:B226"/>
    <mergeCell ref="C225:C226"/>
    <mergeCell ref="D225:D226"/>
    <mergeCell ref="D217:D218"/>
    <mergeCell ref="B219:B220"/>
    <mergeCell ref="C219:C220"/>
    <mergeCell ref="D219:D220"/>
    <mergeCell ref="B221:B222"/>
    <mergeCell ref="C221:C222"/>
    <mergeCell ref="D221:D222"/>
    <mergeCell ref="A213:A214"/>
    <mergeCell ref="B213:B214"/>
    <mergeCell ref="C213:C214"/>
    <mergeCell ref="D213:D214"/>
    <mergeCell ref="A215:A222"/>
    <mergeCell ref="B215:B216"/>
    <mergeCell ref="C215:C216"/>
    <mergeCell ref="D215:D216"/>
    <mergeCell ref="B217:B218"/>
    <mergeCell ref="C217:C218"/>
    <mergeCell ref="A209:A210"/>
    <mergeCell ref="B209:B210"/>
    <mergeCell ref="C209:C210"/>
    <mergeCell ref="D209:D210"/>
    <mergeCell ref="A211:A212"/>
    <mergeCell ref="B211:B212"/>
    <mergeCell ref="C211:C212"/>
    <mergeCell ref="D211:D212"/>
    <mergeCell ref="A203:A208"/>
    <mergeCell ref="B203:B204"/>
    <mergeCell ref="C203:C204"/>
    <mergeCell ref="D203:D204"/>
    <mergeCell ref="B205:B206"/>
    <mergeCell ref="C205:C206"/>
    <mergeCell ref="D205:D206"/>
    <mergeCell ref="B207:B208"/>
    <mergeCell ref="C207:C208"/>
    <mergeCell ref="D207:D208"/>
    <mergeCell ref="A199:A200"/>
    <mergeCell ref="B199:B200"/>
    <mergeCell ref="C199:C200"/>
    <mergeCell ref="D199:D200"/>
    <mergeCell ref="A201:A202"/>
    <mergeCell ref="B201:B202"/>
    <mergeCell ref="C201:C202"/>
    <mergeCell ref="D201:D202"/>
    <mergeCell ref="A195:A196"/>
    <mergeCell ref="B195:B196"/>
    <mergeCell ref="C195:C196"/>
    <mergeCell ref="D195:D196"/>
    <mergeCell ref="A197:A198"/>
    <mergeCell ref="B197:B198"/>
    <mergeCell ref="C197:C198"/>
    <mergeCell ref="D197:D198"/>
    <mergeCell ref="D189:D190"/>
    <mergeCell ref="A191:A192"/>
    <mergeCell ref="B191:B192"/>
    <mergeCell ref="C191:C192"/>
    <mergeCell ref="D191:D192"/>
    <mergeCell ref="A193:A194"/>
    <mergeCell ref="B193:B194"/>
    <mergeCell ref="C193:C194"/>
    <mergeCell ref="D193:D194"/>
    <mergeCell ref="A185:A186"/>
    <mergeCell ref="B185:B186"/>
    <mergeCell ref="C185:C186"/>
    <mergeCell ref="D185:D186"/>
    <mergeCell ref="A187:A190"/>
    <mergeCell ref="B187:B188"/>
    <mergeCell ref="C187:C188"/>
    <mergeCell ref="D187:D188"/>
    <mergeCell ref="B189:B190"/>
    <mergeCell ref="C189:C190"/>
    <mergeCell ref="A181:A182"/>
    <mergeCell ref="B181:B182"/>
    <mergeCell ref="C181:C182"/>
    <mergeCell ref="D181:D182"/>
    <mergeCell ref="A183:A184"/>
    <mergeCell ref="B183:B184"/>
    <mergeCell ref="C183:C184"/>
    <mergeCell ref="D183:D184"/>
    <mergeCell ref="A177:A178"/>
    <mergeCell ref="B177:B178"/>
    <mergeCell ref="C177:C178"/>
    <mergeCell ref="D177:D178"/>
    <mergeCell ref="A179:A180"/>
    <mergeCell ref="B179:B180"/>
    <mergeCell ref="C179:C180"/>
    <mergeCell ref="D179:D180"/>
    <mergeCell ref="A173:A174"/>
    <mergeCell ref="B173:B174"/>
    <mergeCell ref="C173:C174"/>
    <mergeCell ref="D173:D174"/>
    <mergeCell ref="A175:A176"/>
    <mergeCell ref="B175:B176"/>
    <mergeCell ref="C175:C176"/>
    <mergeCell ref="D175:D176"/>
    <mergeCell ref="A169:A170"/>
    <mergeCell ref="B169:B170"/>
    <mergeCell ref="C169:C170"/>
    <mergeCell ref="D169:D170"/>
    <mergeCell ref="A171:A172"/>
    <mergeCell ref="B171:B172"/>
    <mergeCell ref="C171:C172"/>
    <mergeCell ref="D171:D172"/>
    <mergeCell ref="A165:A166"/>
    <mergeCell ref="B165:B166"/>
    <mergeCell ref="C165:C166"/>
    <mergeCell ref="D165:D166"/>
    <mergeCell ref="A167:A168"/>
    <mergeCell ref="B167:B168"/>
    <mergeCell ref="C167:C168"/>
    <mergeCell ref="D167:D168"/>
    <mergeCell ref="A161:A162"/>
    <mergeCell ref="B161:B162"/>
    <mergeCell ref="C161:C162"/>
    <mergeCell ref="D161:D162"/>
    <mergeCell ref="A163:A164"/>
    <mergeCell ref="B163:B164"/>
    <mergeCell ref="C163:C164"/>
    <mergeCell ref="D163:D164"/>
    <mergeCell ref="A157:A158"/>
    <mergeCell ref="B157:B158"/>
    <mergeCell ref="C157:C158"/>
    <mergeCell ref="D157:D158"/>
    <mergeCell ref="A159:A160"/>
    <mergeCell ref="B159:B160"/>
    <mergeCell ref="C159:C160"/>
    <mergeCell ref="D159:D160"/>
    <mergeCell ref="A153:A154"/>
    <mergeCell ref="B153:B154"/>
    <mergeCell ref="C153:C154"/>
    <mergeCell ref="D153:D154"/>
    <mergeCell ref="A155:A156"/>
    <mergeCell ref="B155:B156"/>
    <mergeCell ref="C155:C156"/>
    <mergeCell ref="D155:D156"/>
    <mergeCell ref="A149:A150"/>
    <mergeCell ref="B149:B150"/>
    <mergeCell ref="C149:C150"/>
    <mergeCell ref="D149:D150"/>
    <mergeCell ref="A151:A152"/>
    <mergeCell ref="B151:B152"/>
    <mergeCell ref="C151:C152"/>
    <mergeCell ref="D151:D152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B135:B136"/>
    <mergeCell ref="C135:C136"/>
    <mergeCell ref="D135:D136"/>
    <mergeCell ref="A137:A140"/>
    <mergeCell ref="B137:B138"/>
    <mergeCell ref="C137:C138"/>
    <mergeCell ref="D137:D138"/>
    <mergeCell ref="B139:B140"/>
    <mergeCell ref="C139:C140"/>
    <mergeCell ref="D139:D140"/>
    <mergeCell ref="B131:B132"/>
    <mergeCell ref="C131:C132"/>
    <mergeCell ref="D131:D132"/>
    <mergeCell ref="B133:B134"/>
    <mergeCell ref="C133:C134"/>
    <mergeCell ref="D133:D134"/>
    <mergeCell ref="A125:A136"/>
    <mergeCell ref="B125:B126"/>
    <mergeCell ref="C125:C126"/>
    <mergeCell ref="D125:D126"/>
    <mergeCell ref="B127:B128"/>
    <mergeCell ref="C127:C128"/>
    <mergeCell ref="D127:D128"/>
    <mergeCell ref="B129:B130"/>
    <mergeCell ref="C129:C130"/>
    <mergeCell ref="D129:D130"/>
    <mergeCell ref="B121:B122"/>
    <mergeCell ref="C121:C122"/>
    <mergeCell ref="D121:D122"/>
    <mergeCell ref="A123:A124"/>
    <mergeCell ref="B123:B124"/>
    <mergeCell ref="C123:C124"/>
    <mergeCell ref="D123:D124"/>
    <mergeCell ref="A115:A122"/>
    <mergeCell ref="B115:B116"/>
    <mergeCell ref="C115:C116"/>
    <mergeCell ref="D115:D116"/>
    <mergeCell ref="B117:B118"/>
    <mergeCell ref="C117:C118"/>
    <mergeCell ref="D117:D118"/>
    <mergeCell ref="B119:B120"/>
    <mergeCell ref="C119:C120"/>
    <mergeCell ref="D119:D120"/>
    <mergeCell ref="A111:A112"/>
    <mergeCell ref="B111:B112"/>
    <mergeCell ref="C111:C112"/>
    <mergeCell ref="D111:D112"/>
    <mergeCell ref="A113:A114"/>
    <mergeCell ref="B113:B114"/>
    <mergeCell ref="C113:C114"/>
    <mergeCell ref="D113:D114"/>
    <mergeCell ref="A107:A108"/>
    <mergeCell ref="B107:B108"/>
    <mergeCell ref="C107:C108"/>
    <mergeCell ref="D107:D108"/>
    <mergeCell ref="A109:A110"/>
    <mergeCell ref="B109:B110"/>
    <mergeCell ref="C109:C110"/>
    <mergeCell ref="D109:D110"/>
    <mergeCell ref="A103:A104"/>
    <mergeCell ref="B103:B104"/>
    <mergeCell ref="C103:C104"/>
    <mergeCell ref="D103:D104"/>
    <mergeCell ref="A105:A106"/>
    <mergeCell ref="B105:B106"/>
    <mergeCell ref="C105:C106"/>
    <mergeCell ref="D105:D106"/>
    <mergeCell ref="A99:A100"/>
    <mergeCell ref="B99:B100"/>
    <mergeCell ref="C99:C100"/>
    <mergeCell ref="D99:D100"/>
    <mergeCell ref="A101:A102"/>
    <mergeCell ref="B101:B102"/>
    <mergeCell ref="C101:C102"/>
    <mergeCell ref="D101:D102"/>
    <mergeCell ref="A95:A96"/>
    <mergeCell ref="B95:B96"/>
    <mergeCell ref="C95:C96"/>
    <mergeCell ref="D95:D96"/>
    <mergeCell ref="A97:A98"/>
    <mergeCell ref="B97:B98"/>
    <mergeCell ref="C97:C98"/>
    <mergeCell ref="D97:D98"/>
    <mergeCell ref="A91:A92"/>
    <mergeCell ref="B91:B92"/>
    <mergeCell ref="C91:C92"/>
    <mergeCell ref="D91:D92"/>
    <mergeCell ref="A93:A94"/>
    <mergeCell ref="B93:B94"/>
    <mergeCell ref="C93:C94"/>
    <mergeCell ref="D93:D94"/>
    <mergeCell ref="A87:A88"/>
    <mergeCell ref="B87:B88"/>
    <mergeCell ref="C87:C88"/>
    <mergeCell ref="D87:D88"/>
    <mergeCell ref="A89:A90"/>
    <mergeCell ref="B89:B90"/>
    <mergeCell ref="C89:C90"/>
    <mergeCell ref="D89:D90"/>
    <mergeCell ref="D81:D82"/>
    <mergeCell ref="A83:A84"/>
    <mergeCell ref="B83:B84"/>
    <mergeCell ref="C83:C84"/>
    <mergeCell ref="D83:D84"/>
    <mergeCell ref="A85:A86"/>
    <mergeCell ref="B85:B86"/>
    <mergeCell ref="C85:C86"/>
    <mergeCell ref="D85:D86"/>
    <mergeCell ref="A77:A78"/>
    <mergeCell ref="B77:B78"/>
    <mergeCell ref="C77:C78"/>
    <mergeCell ref="D77:D78"/>
    <mergeCell ref="A79:A82"/>
    <mergeCell ref="B79:B80"/>
    <mergeCell ref="C79:C80"/>
    <mergeCell ref="D79:D80"/>
    <mergeCell ref="B81:B82"/>
    <mergeCell ref="C81:C82"/>
    <mergeCell ref="C73:C74"/>
    <mergeCell ref="D73:D74"/>
    <mergeCell ref="A75:A76"/>
    <mergeCell ref="B75:B76"/>
    <mergeCell ref="C75:C76"/>
    <mergeCell ref="D75:D76"/>
    <mergeCell ref="D67:D68"/>
    <mergeCell ref="A69:A70"/>
    <mergeCell ref="B69:B70"/>
    <mergeCell ref="C69:C70"/>
    <mergeCell ref="D69:D70"/>
    <mergeCell ref="A71:A74"/>
    <mergeCell ref="B71:B72"/>
    <mergeCell ref="C71:C72"/>
    <mergeCell ref="D71:D72"/>
    <mergeCell ref="B73:B74"/>
    <mergeCell ref="A63:A64"/>
    <mergeCell ref="B63:B64"/>
    <mergeCell ref="C63:C64"/>
    <mergeCell ref="D63:D64"/>
    <mergeCell ref="A65:A68"/>
    <mergeCell ref="B65:B66"/>
    <mergeCell ref="C65:C66"/>
    <mergeCell ref="D65:D66"/>
    <mergeCell ref="B67:B68"/>
    <mergeCell ref="C67:C68"/>
    <mergeCell ref="A59:A60"/>
    <mergeCell ref="B59:B60"/>
    <mergeCell ref="C59:C60"/>
    <mergeCell ref="D59:D60"/>
    <mergeCell ref="A61:A62"/>
    <mergeCell ref="B61:B62"/>
    <mergeCell ref="C61:C62"/>
    <mergeCell ref="D61:D62"/>
    <mergeCell ref="A55:A56"/>
    <mergeCell ref="B55:B56"/>
    <mergeCell ref="C55:C56"/>
    <mergeCell ref="D55:D56"/>
    <mergeCell ref="A57:A58"/>
    <mergeCell ref="B57:B58"/>
    <mergeCell ref="C57:C58"/>
    <mergeCell ref="D57:D58"/>
    <mergeCell ref="A51:A54"/>
    <mergeCell ref="B51:B52"/>
    <mergeCell ref="C51:C52"/>
    <mergeCell ref="D51:D52"/>
    <mergeCell ref="B53:B54"/>
    <mergeCell ref="C53:C54"/>
    <mergeCell ref="D53:D54"/>
    <mergeCell ref="A47:A48"/>
    <mergeCell ref="B47:B48"/>
    <mergeCell ref="C47:C48"/>
    <mergeCell ref="D47:D48"/>
    <mergeCell ref="A49:A50"/>
    <mergeCell ref="B49:B50"/>
    <mergeCell ref="C49:C50"/>
    <mergeCell ref="D49:D50"/>
    <mergeCell ref="A43:A44"/>
    <mergeCell ref="B43:B44"/>
    <mergeCell ref="C43:C44"/>
    <mergeCell ref="D43:D44"/>
    <mergeCell ref="A45:A46"/>
    <mergeCell ref="B45:B46"/>
    <mergeCell ref="C45:C46"/>
    <mergeCell ref="D45:D46"/>
    <mergeCell ref="A37:A42"/>
    <mergeCell ref="B37:B38"/>
    <mergeCell ref="C37:C38"/>
    <mergeCell ref="D37:D38"/>
    <mergeCell ref="B39:B40"/>
    <mergeCell ref="C39:C40"/>
    <mergeCell ref="D39:D40"/>
    <mergeCell ref="B41:B42"/>
    <mergeCell ref="C41:C42"/>
    <mergeCell ref="D41:D42"/>
    <mergeCell ref="A33:A34"/>
    <mergeCell ref="B33:B34"/>
    <mergeCell ref="C33:C34"/>
    <mergeCell ref="D33:D34"/>
    <mergeCell ref="A35:A36"/>
    <mergeCell ref="B35:B36"/>
    <mergeCell ref="C35:C36"/>
    <mergeCell ref="D35:D36"/>
    <mergeCell ref="A29:A30"/>
    <mergeCell ref="B29:B30"/>
    <mergeCell ref="C29:C30"/>
    <mergeCell ref="D29:D30"/>
    <mergeCell ref="A31:A32"/>
    <mergeCell ref="B31:B32"/>
    <mergeCell ref="C31:C32"/>
    <mergeCell ref="D31:D32"/>
    <mergeCell ref="A25:A26"/>
    <mergeCell ref="B25:B26"/>
    <mergeCell ref="C25:C26"/>
    <mergeCell ref="D25:D26"/>
    <mergeCell ref="A27:A28"/>
    <mergeCell ref="B27:B28"/>
    <mergeCell ref="C27:C28"/>
    <mergeCell ref="D27:D28"/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D17:D18"/>
    <mergeCell ref="A19:A20"/>
    <mergeCell ref="B19:B20"/>
    <mergeCell ref="C19:C20"/>
    <mergeCell ref="D19:D20"/>
  </mergeCells>
  <pageMargins left="0.70866141732283472" right="0.70866141732283472" top="0.74803149606299213" bottom="0.74803149606299213" header="0.31496062992125984" footer="0.31496062992125984"/>
  <pageSetup paperSize="8" scale="81" fitToHeight="0" orientation="portrait" r:id="rId1"/>
  <rowBreaks count="3" manualBreakCount="3">
    <brk id="76" max="3" man="1"/>
    <brk id="158" max="3" man="1"/>
    <brk id="25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Print Version of Report</vt:lpstr>
      <vt:lpstr>'Print Version of Report'!Print_Area</vt:lpstr>
      <vt:lpstr>'Print Version of Report'!Print_Titles</vt:lpstr>
    </vt:vector>
  </TitlesOfParts>
  <Company>Whitsunday Regional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 Short</dc:creator>
  <cp:lastModifiedBy>Christin Short</cp:lastModifiedBy>
  <dcterms:created xsi:type="dcterms:W3CDTF">2026-04-23T00:52:25Z</dcterms:created>
  <dcterms:modified xsi:type="dcterms:W3CDTF">2026-04-23T00:53:35Z</dcterms:modified>
</cp:coreProperties>
</file>